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6"/>
  <workbookPr filterPrivacy="1"/>
  <xr:revisionPtr revIDLastSave="0" documentId="8_{8698DC6E-298E-48CF-A664-B408FDD3FBB5}" xr6:coauthVersionLast="47" xr6:coauthVersionMax="47" xr10:uidLastSave="{00000000-0000-0000-0000-000000000000}"/>
  <bookViews>
    <workbookView xWindow="-28920" yWindow="-120" windowWidth="29040" windowHeight="15720" tabRatio="932" firstSheet="6" activeTab="6" xr2:uid="{00000000-000D-0000-FFFF-FFFF00000000}"/>
  </bookViews>
  <sheets>
    <sheet name="Janeiro" sheetId="4" r:id="rId1"/>
    <sheet name="Fevereiro" sheetId="5" r:id="rId2"/>
    <sheet name="Março" sheetId="17" r:id="rId3"/>
    <sheet name="Abril" sheetId="18" r:id="rId4"/>
    <sheet name="Maio" sheetId="19" r:id="rId5"/>
    <sheet name="Junho" sheetId="20" r:id="rId6"/>
    <sheet name="Julho" sheetId="21" r:id="rId7"/>
    <sheet name="Agosto" sheetId="22" r:id="rId8"/>
    <sheet name="Setembro" sheetId="23" r:id="rId9"/>
    <sheet name="Outubro" sheetId="24" r:id="rId10"/>
    <sheet name="Novembro" sheetId="25" r:id="rId11"/>
    <sheet name="Dezembro" sheetId="15" r:id="rId12"/>
    <sheet name="Diretores" sheetId="16" r:id="rId13"/>
    <sheet name="Estatísticas" sheetId="26" r:id="rId14"/>
    <sheet name="Regras" sheetId="27" r:id="rId15"/>
  </sheets>
  <definedNames>
    <definedName name="AnoCalendário">Janeiro!$AH$5</definedName>
    <definedName name="ChaveFérias">Janeiro!$C$3</definedName>
    <definedName name="ChaveLicençaMédica">Janeiro!$L$3</definedName>
    <definedName name="ChavePersonalizada1">Janeiro!$P$3</definedName>
    <definedName name="ChavePersonalizada2">Janeiro!$U$3</definedName>
    <definedName name="ChavePessoal">Janeiro!$F$3</definedName>
    <definedName name="Nome_da_chave">Janeiro!$B$3</definedName>
    <definedName name="NomeMês" localSheetId="3">Abril!$B$1</definedName>
    <definedName name="NomeMês" localSheetId="7">Agosto!$B$1</definedName>
    <definedName name="NomeMês" localSheetId="11">Dezembro!$B$1</definedName>
    <definedName name="NomeMês" localSheetId="1">Fevereiro!$B$1</definedName>
    <definedName name="NomeMês" localSheetId="0">Janeiro!$B$1</definedName>
    <definedName name="NomeMês" localSheetId="6">Julho!$B$1</definedName>
    <definedName name="NomeMês" localSheetId="5">Junho!$B$1</definedName>
    <definedName name="NomeMês" localSheetId="4">Maio!$B$3</definedName>
    <definedName name="NomeMês" localSheetId="2">Março!$B$1</definedName>
    <definedName name="NomeMês" localSheetId="10">Novembro!$B$1</definedName>
    <definedName name="NomeMês" localSheetId="9">Outubro!$B$1</definedName>
    <definedName name="NomeMês" localSheetId="8">Setembro!$B$1</definedName>
    <definedName name="RótuloChaveLicençaMédica">Janeiro!$M$3</definedName>
    <definedName name="RótulodeChavedeFérias">Janeiro!$D$3</definedName>
    <definedName name="RótulodeChavePersonalizada1">Janeiro!$Q$3</definedName>
    <definedName name="RótulodeChavePersonalizada2">Janeiro!$V$3</definedName>
    <definedName name="RótuloDeChavePessoal">Janeiro!$G$3</definedName>
    <definedName name="Título_de_Falta_do_Funcionário">Janeiro!#REF!</definedName>
    <definedName name="Título1">Janeiro[[#Headers],[Diretor]]</definedName>
    <definedName name="Título10">Outubro[[#Headers],[Diretor]]</definedName>
    <definedName name="Título11">Novembro[[#Headers],[Diretor]]</definedName>
    <definedName name="Título12">Dezembro[[#Headers],[Diretor]]</definedName>
    <definedName name="Título2">Fevereiro[[#Headers],[Diretor]]</definedName>
    <definedName name="Título3">Março[[#Headers],[Diretor]]</definedName>
    <definedName name="Título4">March5[[#Headers],[Diretor]]</definedName>
    <definedName name="Título5">March58[[#Headers],[Diretor]]</definedName>
    <definedName name="Título6">Junho[[#Headers],[Diretor]]</definedName>
    <definedName name="Título7">Julho[[#Headers],[Diretor]]</definedName>
    <definedName name="Título8">Agosto[[#Headers],[Diretor]]</definedName>
    <definedName name="Título9">Setembro[[#Headers],[Diretor]]</definedName>
    <definedName name="TítuloColuna13">NomeDoFuncionário[[#Headers],[Diretor]]</definedName>
    <definedName name="_xlnm.Print_Titles" localSheetId="3">Abril!$6:$8</definedName>
    <definedName name="_xlnm.Print_Titles" localSheetId="7">Agosto!$5:$7</definedName>
    <definedName name="_xlnm.Print_Titles" localSheetId="11">Dezembro!$5:$7</definedName>
    <definedName name="_xlnm.Print_Titles" localSheetId="1">Fevereiro!$5:$7</definedName>
    <definedName name="_xlnm.Print_Titles" localSheetId="0">Janeiro!$5:$7</definedName>
    <definedName name="_xlnm.Print_Titles" localSheetId="6">Julho!$6:$7</definedName>
    <definedName name="_xlnm.Print_Titles" localSheetId="5">Junho!$5:$7</definedName>
    <definedName name="_xlnm.Print_Titles" localSheetId="4">Maio!$3:$5</definedName>
    <definedName name="_xlnm.Print_Titles" localSheetId="2">Março!$5:$7</definedName>
    <definedName name="_xlnm.Print_Titles" localSheetId="10">Novembro!$5:$7</definedName>
    <definedName name="_xlnm.Print_Titles" localSheetId="9">Outubro!$5:$7</definedName>
    <definedName name="_xlnm.Print_Titles" localSheetId="8">Setembro!$5:$7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2" i="21" l="1"/>
  <c r="AH12" i="22"/>
  <c r="AG12" i="23"/>
  <c r="AG10" i="20"/>
  <c r="AG12" i="20"/>
  <c r="AG14" i="20"/>
  <c r="AG16" i="20"/>
  <c r="AG8" i="20"/>
  <c r="AG10" i="18"/>
  <c r="AG12" i="18"/>
  <c r="AG14" i="18"/>
  <c r="AG16" i="18"/>
  <c r="AG8" i="18"/>
  <c r="AG8" i="23"/>
  <c r="AG8" i="25"/>
  <c r="AE18" i="23" l="1"/>
  <c r="AG14" i="23"/>
  <c r="AG16" i="23"/>
  <c r="AF18" i="18"/>
  <c r="AH8" i="4"/>
  <c r="AG18" i="15"/>
  <c r="D18" i="15"/>
  <c r="E18" i="15"/>
  <c r="F18" i="15"/>
  <c r="G18" i="15"/>
  <c r="H18" i="15"/>
  <c r="I18" i="15"/>
  <c r="J18" i="15"/>
  <c r="K18" i="15"/>
  <c r="L18" i="15"/>
  <c r="M18" i="15"/>
  <c r="N18" i="15"/>
  <c r="O18" i="15"/>
  <c r="P18" i="15"/>
  <c r="Q18" i="15"/>
  <c r="R18" i="15"/>
  <c r="S18" i="15"/>
  <c r="T18" i="15"/>
  <c r="U18" i="15"/>
  <c r="V18" i="15"/>
  <c r="W18" i="15"/>
  <c r="X18" i="15"/>
  <c r="Y18" i="15"/>
  <c r="Z18" i="15"/>
  <c r="AA18" i="15"/>
  <c r="AB18" i="15"/>
  <c r="AC18" i="15"/>
  <c r="AD18" i="15"/>
  <c r="AE18" i="15"/>
  <c r="AF18" i="15"/>
  <c r="C18" i="15"/>
  <c r="AF18" i="25"/>
  <c r="D18" i="25"/>
  <c r="E18" i="25"/>
  <c r="F18" i="25"/>
  <c r="G18" i="25"/>
  <c r="H18" i="25"/>
  <c r="I18" i="25"/>
  <c r="J18" i="25"/>
  <c r="K18" i="25"/>
  <c r="L18" i="25"/>
  <c r="M18" i="25"/>
  <c r="N18" i="25"/>
  <c r="O18" i="25"/>
  <c r="P18" i="25"/>
  <c r="Q18" i="25"/>
  <c r="R18" i="25"/>
  <c r="S18" i="25"/>
  <c r="T18" i="25"/>
  <c r="U18" i="25"/>
  <c r="V18" i="25"/>
  <c r="W18" i="25"/>
  <c r="X18" i="25"/>
  <c r="Y18" i="25"/>
  <c r="Z18" i="25"/>
  <c r="AA18" i="25"/>
  <c r="AB18" i="25"/>
  <c r="AC18" i="25"/>
  <c r="AD18" i="25"/>
  <c r="AE18" i="25"/>
  <c r="C18" i="25"/>
  <c r="AG18" i="24"/>
  <c r="D18" i="24"/>
  <c r="E18" i="24"/>
  <c r="F18" i="24"/>
  <c r="G18" i="24"/>
  <c r="H18" i="24"/>
  <c r="I18" i="24"/>
  <c r="J18" i="24"/>
  <c r="K18" i="24"/>
  <c r="L18" i="24"/>
  <c r="M18" i="24"/>
  <c r="N18" i="24"/>
  <c r="O18" i="24"/>
  <c r="P18" i="24"/>
  <c r="Q18" i="24"/>
  <c r="R18" i="24"/>
  <c r="S18" i="24"/>
  <c r="T18" i="24"/>
  <c r="U18" i="24"/>
  <c r="V18" i="24"/>
  <c r="W18" i="24"/>
  <c r="X18" i="24"/>
  <c r="Y18" i="24"/>
  <c r="Z18" i="24"/>
  <c r="AA18" i="24"/>
  <c r="AB18" i="24"/>
  <c r="AC18" i="24"/>
  <c r="AD18" i="24"/>
  <c r="AE18" i="24"/>
  <c r="AF18" i="24"/>
  <c r="C18" i="24"/>
  <c r="D18" i="23"/>
  <c r="E18" i="23"/>
  <c r="F18" i="23"/>
  <c r="G18" i="23"/>
  <c r="H18" i="23"/>
  <c r="I18" i="23"/>
  <c r="J18" i="23"/>
  <c r="K18" i="23"/>
  <c r="L18" i="23"/>
  <c r="M18" i="23"/>
  <c r="N18" i="23"/>
  <c r="O18" i="23"/>
  <c r="P18" i="23"/>
  <c r="Q18" i="23"/>
  <c r="R18" i="23"/>
  <c r="S18" i="23"/>
  <c r="T18" i="23"/>
  <c r="U18" i="23"/>
  <c r="V18" i="23"/>
  <c r="W18" i="23"/>
  <c r="X18" i="23"/>
  <c r="Y18" i="23"/>
  <c r="Z18" i="23"/>
  <c r="AA18" i="23"/>
  <c r="AB18" i="23"/>
  <c r="AC18" i="23"/>
  <c r="AD18" i="23"/>
  <c r="AF18" i="23"/>
  <c r="C18" i="23"/>
  <c r="D18" i="22"/>
  <c r="E18" i="22"/>
  <c r="F18" i="22"/>
  <c r="G18" i="22"/>
  <c r="H18" i="22"/>
  <c r="I18" i="22"/>
  <c r="J18" i="22"/>
  <c r="K18" i="22"/>
  <c r="L18" i="22"/>
  <c r="M18" i="22"/>
  <c r="N18" i="22"/>
  <c r="O18" i="22"/>
  <c r="P18" i="22"/>
  <c r="Q18" i="22"/>
  <c r="R18" i="22"/>
  <c r="S18" i="22"/>
  <c r="T18" i="22"/>
  <c r="U18" i="22"/>
  <c r="V18" i="22"/>
  <c r="W18" i="22"/>
  <c r="X18" i="22"/>
  <c r="Y18" i="22"/>
  <c r="Z18" i="22"/>
  <c r="AA18" i="22"/>
  <c r="AB18" i="22"/>
  <c r="AC18" i="22"/>
  <c r="AD18" i="22"/>
  <c r="AE18" i="22"/>
  <c r="AF18" i="22"/>
  <c r="AG18" i="22"/>
  <c r="C18" i="22"/>
  <c r="D18" i="21"/>
  <c r="E18" i="21"/>
  <c r="F18" i="21"/>
  <c r="G18" i="21"/>
  <c r="H18" i="21"/>
  <c r="I18" i="21"/>
  <c r="J18" i="21"/>
  <c r="K18" i="21"/>
  <c r="L18" i="21"/>
  <c r="M18" i="21"/>
  <c r="N18" i="21"/>
  <c r="O18" i="21"/>
  <c r="P18" i="21"/>
  <c r="Q18" i="21"/>
  <c r="R18" i="21"/>
  <c r="S18" i="21"/>
  <c r="T18" i="21"/>
  <c r="U18" i="21"/>
  <c r="V18" i="21"/>
  <c r="W18" i="21"/>
  <c r="X18" i="21"/>
  <c r="Y18" i="21"/>
  <c r="Z18" i="21"/>
  <c r="AA18" i="21"/>
  <c r="AB18" i="21"/>
  <c r="AC18" i="21"/>
  <c r="AD18" i="21"/>
  <c r="AE18" i="21"/>
  <c r="AF18" i="21"/>
  <c r="AG18" i="21"/>
  <c r="C18" i="21"/>
  <c r="AF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C18" i="20"/>
  <c r="AG18" i="19"/>
  <c r="D18" i="19"/>
  <c r="E18" i="19"/>
  <c r="F18" i="19"/>
  <c r="G1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C18" i="19"/>
  <c r="D18" i="18"/>
  <c r="E18" i="18"/>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C18" i="18"/>
  <c r="D18" i="17"/>
  <c r="E18" i="17"/>
  <c r="F18" i="17"/>
  <c r="G18" i="17"/>
  <c r="H18" i="17"/>
  <c r="I18" i="17"/>
  <c r="J18" i="17"/>
  <c r="K18" i="17"/>
  <c r="L18" i="17"/>
  <c r="M18" i="17"/>
  <c r="N18" i="17"/>
  <c r="O18" i="17"/>
  <c r="P18" i="17"/>
  <c r="Q18" i="17"/>
  <c r="R18" i="17"/>
  <c r="S18" i="17"/>
  <c r="T18" i="17"/>
  <c r="U18" i="17"/>
  <c r="V18" i="17"/>
  <c r="W18" i="17"/>
  <c r="X18" i="17"/>
  <c r="Y18" i="17"/>
  <c r="Z18" i="17"/>
  <c r="AA18" i="17"/>
  <c r="AB18" i="17"/>
  <c r="AC18" i="17"/>
  <c r="AD18" i="17"/>
  <c r="AE18" i="17"/>
  <c r="AF18" i="17"/>
  <c r="AG18" i="17"/>
  <c r="C18" i="17"/>
  <c r="AE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8" i="5"/>
  <c r="C18" i="4"/>
  <c r="AH8" i="17"/>
  <c r="AG16" i="25"/>
  <c r="AG14" i="25"/>
  <c r="AG12" i="25"/>
  <c r="AG10" i="25"/>
  <c r="C6" i="15"/>
  <c r="C6" i="25"/>
  <c r="C6" i="24"/>
  <c r="C6" i="23"/>
  <c r="C6" i="22"/>
  <c r="C6" i="21"/>
  <c r="C6" i="20"/>
  <c r="C6" i="19"/>
  <c r="C6" i="18"/>
  <c r="C6" i="17"/>
  <c r="C6" i="5"/>
  <c r="N8" i="26"/>
  <c r="M8" i="26"/>
  <c r="L8" i="26"/>
  <c r="K8" i="26"/>
  <c r="J8" i="26"/>
  <c r="I8" i="26"/>
  <c r="H8" i="26"/>
  <c r="G8" i="26"/>
  <c r="F8" i="26"/>
  <c r="E8" i="26"/>
  <c r="D8" i="26"/>
  <c r="N7" i="26"/>
  <c r="M7" i="26"/>
  <c r="L7" i="26"/>
  <c r="K7" i="26"/>
  <c r="J7" i="26"/>
  <c r="I7" i="26"/>
  <c r="H7" i="26"/>
  <c r="G7" i="26"/>
  <c r="F7" i="26"/>
  <c r="E7" i="26"/>
  <c r="D7" i="26"/>
  <c r="N6" i="26"/>
  <c r="M6" i="26"/>
  <c r="L6" i="26"/>
  <c r="K6" i="26"/>
  <c r="J6" i="26"/>
  <c r="I6" i="26"/>
  <c r="H6" i="26"/>
  <c r="G6" i="26"/>
  <c r="F6" i="26"/>
  <c r="E6" i="26"/>
  <c r="D6" i="26"/>
  <c r="N5" i="26"/>
  <c r="M5" i="26"/>
  <c r="L5" i="26"/>
  <c r="K5" i="26"/>
  <c r="J5" i="26"/>
  <c r="I5" i="26"/>
  <c r="H5" i="26"/>
  <c r="G5" i="26"/>
  <c r="F5" i="26"/>
  <c r="E5" i="26"/>
  <c r="D5" i="26"/>
  <c r="N4" i="26"/>
  <c r="M4" i="26"/>
  <c r="L4" i="26"/>
  <c r="K4" i="26"/>
  <c r="J4" i="26"/>
  <c r="I4" i="26"/>
  <c r="H4" i="26"/>
  <c r="G4" i="26"/>
  <c r="F4" i="26"/>
  <c r="E4" i="26"/>
  <c r="D4" i="26"/>
  <c r="C8" i="26"/>
  <c r="C7" i="26"/>
  <c r="C6" i="26"/>
  <c r="C5" i="26"/>
  <c r="C6" i="4"/>
  <c r="O4" i="26" l="1"/>
  <c r="P4" i="26" s="1"/>
  <c r="O6" i="26"/>
  <c r="P6" i="26" s="1"/>
  <c r="O5" i="26"/>
  <c r="P5" i="26" s="1"/>
  <c r="O8" i="26"/>
  <c r="P8" i="26" s="1"/>
  <c r="O7" i="26"/>
  <c r="P7" i="26" s="1"/>
  <c r="E18" i="4" l="1"/>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D18" i="4"/>
  <c r="AE6" i="5"/>
  <c r="AD6" i="5"/>
  <c r="AC6" i="5"/>
  <c r="AB6" i="5"/>
  <c r="AA6" i="5"/>
  <c r="Z6" i="5"/>
  <c r="Y6" i="5"/>
  <c r="X6" i="5"/>
  <c r="W6" i="5"/>
  <c r="V6" i="5"/>
  <c r="U6" i="5"/>
  <c r="T6" i="5"/>
  <c r="S6" i="5"/>
  <c r="R6" i="5"/>
  <c r="Q6" i="5"/>
  <c r="P6" i="5"/>
  <c r="O6" i="5"/>
  <c r="N6" i="5"/>
  <c r="M6" i="5"/>
  <c r="L6" i="5"/>
  <c r="K6" i="5"/>
  <c r="J6" i="5"/>
  <c r="I6" i="5"/>
  <c r="H6" i="5"/>
  <c r="G6" i="5"/>
  <c r="F6" i="5"/>
  <c r="E6" i="5"/>
  <c r="D6" i="5"/>
  <c r="AG6" i="17"/>
  <c r="AF6" i="17"/>
  <c r="AE6" i="17"/>
  <c r="AD6" i="17"/>
  <c r="AC6" i="17"/>
  <c r="AB6" i="17"/>
  <c r="AA6" i="17"/>
  <c r="Z6" i="17"/>
  <c r="Y6" i="17"/>
  <c r="X6" i="17"/>
  <c r="W6" i="17"/>
  <c r="V6" i="17"/>
  <c r="U6" i="17"/>
  <c r="T6" i="17"/>
  <c r="S6" i="17"/>
  <c r="R6" i="17"/>
  <c r="Q6" i="17"/>
  <c r="P6" i="17"/>
  <c r="O6" i="17"/>
  <c r="N6" i="17"/>
  <c r="M6" i="17"/>
  <c r="L6" i="17"/>
  <c r="K6" i="17"/>
  <c r="J6" i="17"/>
  <c r="I6" i="17"/>
  <c r="H6" i="17"/>
  <c r="G6" i="17"/>
  <c r="F6" i="17"/>
  <c r="E6" i="17"/>
  <c r="D6" i="17"/>
  <c r="AF6" i="18"/>
  <c r="AE6" i="18"/>
  <c r="AD6" i="18"/>
  <c r="AC6" i="18"/>
  <c r="AB6" i="18"/>
  <c r="AA6" i="18"/>
  <c r="Z6" i="18"/>
  <c r="Y6" i="18"/>
  <c r="X6" i="18"/>
  <c r="W6" i="18"/>
  <c r="V6" i="18"/>
  <c r="U6" i="18"/>
  <c r="T6" i="18"/>
  <c r="S6" i="18"/>
  <c r="R6" i="18"/>
  <c r="Q6" i="18"/>
  <c r="P6" i="18"/>
  <c r="O6" i="18"/>
  <c r="N6" i="18"/>
  <c r="M6" i="18"/>
  <c r="L6" i="18"/>
  <c r="K6" i="18"/>
  <c r="J6" i="18"/>
  <c r="I6" i="18"/>
  <c r="H6" i="18"/>
  <c r="G6" i="18"/>
  <c r="F6" i="18"/>
  <c r="E6" i="18"/>
  <c r="D6" i="18"/>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AF6" i="20"/>
  <c r="AE6" i="20"/>
  <c r="AD6" i="20"/>
  <c r="AC6" i="20"/>
  <c r="AB6" i="20"/>
  <c r="AA6" i="20"/>
  <c r="Z6" i="20"/>
  <c r="Y6" i="20"/>
  <c r="X6" i="20"/>
  <c r="W6" i="20"/>
  <c r="V6" i="20"/>
  <c r="U6" i="20"/>
  <c r="T6" i="20"/>
  <c r="S6" i="20"/>
  <c r="R6" i="20"/>
  <c r="Q6" i="20"/>
  <c r="P6" i="20"/>
  <c r="O6" i="20"/>
  <c r="N6" i="20"/>
  <c r="M6" i="20"/>
  <c r="L6" i="20"/>
  <c r="K6" i="20"/>
  <c r="J6" i="20"/>
  <c r="I6" i="20"/>
  <c r="H6" i="20"/>
  <c r="G6" i="20"/>
  <c r="F6" i="20"/>
  <c r="E6" i="20"/>
  <c r="D6" i="20"/>
  <c r="AG6" i="21"/>
  <c r="AF6" i="21"/>
  <c r="AE6" i="21"/>
  <c r="AD6" i="21"/>
  <c r="AC6" i="21"/>
  <c r="AB6" i="21"/>
  <c r="AA6" i="21"/>
  <c r="Z6" i="21"/>
  <c r="Y6" i="21"/>
  <c r="X6" i="21"/>
  <c r="W6" i="21"/>
  <c r="V6" i="21"/>
  <c r="U6" i="21"/>
  <c r="T6" i="21"/>
  <c r="S6" i="21"/>
  <c r="R6" i="21"/>
  <c r="Q6" i="21"/>
  <c r="P6" i="21"/>
  <c r="O6" i="21"/>
  <c r="N6" i="21"/>
  <c r="M6" i="21"/>
  <c r="L6" i="21"/>
  <c r="K6" i="21"/>
  <c r="J6" i="21"/>
  <c r="I6" i="21"/>
  <c r="H6" i="21"/>
  <c r="G6" i="21"/>
  <c r="F6" i="21"/>
  <c r="E6" i="21"/>
  <c r="D6" i="21"/>
  <c r="AG6" i="22"/>
  <c r="AF6" i="22"/>
  <c r="AE6" i="22"/>
  <c r="AD6" i="22"/>
  <c r="AC6" i="22"/>
  <c r="AB6" i="22"/>
  <c r="AA6" i="22"/>
  <c r="Z6" i="22"/>
  <c r="Y6" i="22"/>
  <c r="X6" i="22"/>
  <c r="W6" i="22"/>
  <c r="V6" i="22"/>
  <c r="U6" i="22"/>
  <c r="T6" i="22"/>
  <c r="S6" i="22"/>
  <c r="R6" i="22"/>
  <c r="Q6" i="22"/>
  <c r="P6" i="22"/>
  <c r="O6" i="22"/>
  <c r="N6" i="22"/>
  <c r="M6" i="22"/>
  <c r="L6" i="22"/>
  <c r="K6" i="22"/>
  <c r="J6" i="22"/>
  <c r="I6" i="22"/>
  <c r="H6" i="22"/>
  <c r="G6" i="22"/>
  <c r="F6" i="22"/>
  <c r="E6" i="22"/>
  <c r="D6" i="22"/>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AG6" i="24"/>
  <c r="AF6" i="24"/>
  <c r="AE6" i="24"/>
  <c r="AD6" i="24"/>
  <c r="AC6" i="24"/>
  <c r="AB6" i="24"/>
  <c r="AA6" i="24"/>
  <c r="Z6" i="24"/>
  <c r="Y6" i="24"/>
  <c r="X6" i="24"/>
  <c r="W6" i="24"/>
  <c r="V6" i="24"/>
  <c r="U6" i="24"/>
  <c r="T6" i="24"/>
  <c r="S6" i="24"/>
  <c r="R6" i="24"/>
  <c r="Q6" i="24"/>
  <c r="P6" i="24"/>
  <c r="O6" i="24"/>
  <c r="N6" i="24"/>
  <c r="M6" i="24"/>
  <c r="L6" i="24"/>
  <c r="K6" i="24"/>
  <c r="J6" i="24"/>
  <c r="I6" i="24"/>
  <c r="H6" i="24"/>
  <c r="G6" i="24"/>
  <c r="F6" i="24"/>
  <c r="E6" i="24"/>
  <c r="D6" i="24"/>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AG6" i="15"/>
  <c r="AF6" i="15"/>
  <c r="AE6" i="15"/>
  <c r="AD6" i="15"/>
  <c r="AC6" i="15"/>
  <c r="AB6" i="15"/>
  <c r="AA6" i="15"/>
  <c r="Z6" i="15"/>
  <c r="Y6" i="15"/>
  <c r="X6" i="15"/>
  <c r="W6" i="15"/>
  <c r="V6" i="15"/>
  <c r="U6" i="15"/>
  <c r="T6" i="15"/>
  <c r="S6" i="15"/>
  <c r="R6" i="15"/>
  <c r="Q6" i="15"/>
  <c r="P6" i="15"/>
  <c r="O6" i="15"/>
  <c r="N6" i="15"/>
  <c r="M6" i="15"/>
  <c r="L6" i="15"/>
  <c r="K6" i="15"/>
  <c r="J6" i="15"/>
  <c r="I6" i="15"/>
  <c r="H6" i="15"/>
  <c r="G6" i="15"/>
  <c r="F6" i="15"/>
  <c r="E6" i="15"/>
  <c r="D6" i="15"/>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H5" i="15" l="1"/>
  <c r="AG5" i="25"/>
  <c r="AH5" i="24"/>
  <c r="AG5" i="23"/>
  <c r="AH5" i="22"/>
  <c r="AH5" i="21"/>
  <c r="AH16" i="19"/>
  <c r="AH14" i="19"/>
  <c r="AH12" i="19"/>
  <c r="AH10" i="19"/>
  <c r="AH8" i="19"/>
  <c r="AH12" i="4"/>
  <c r="AH14" i="4"/>
  <c r="AH16" i="24" l="1"/>
  <c r="AH14" i="24"/>
  <c r="AH12" i="24"/>
  <c r="AH10" i="24"/>
  <c r="AH8" i="24"/>
  <c r="AH16" i="22"/>
  <c r="AH14" i="22"/>
  <c r="AH10" i="22"/>
  <c r="AH8" i="22"/>
  <c r="AH16" i="21"/>
  <c r="AH14" i="21"/>
  <c r="AH10" i="21"/>
  <c r="AH8" i="21"/>
  <c r="AH16" i="17"/>
  <c r="AH14" i="17"/>
  <c r="AH12" i="17"/>
  <c r="AH10" i="17"/>
  <c r="AH18" i="17" l="1"/>
  <c r="AH8" i="15" l="1"/>
  <c r="AH10" i="15"/>
  <c r="AH12" i="15"/>
  <c r="AH14" i="15"/>
  <c r="AH16" i="15"/>
  <c r="AF16" i="5" l="1"/>
  <c r="AF14" i="5"/>
  <c r="AF12" i="5"/>
  <c r="AH16" i="4"/>
  <c r="AF10" i="5"/>
  <c r="AF8" i="5"/>
  <c r="AH10" i="4" l="1"/>
</calcChain>
</file>

<file path=xl/sharedStrings.xml><?xml version="1.0" encoding="utf-8"?>
<sst xmlns="http://schemas.openxmlformats.org/spreadsheetml/2006/main" count="776" uniqueCount="108">
  <si>
    <t>Janeiro 2026</t>
  </si>
  <si>
    <t>Legenda</t>
  </si>
  <si>
    <t>F</t>
  </si>
  <si>
    <t>Férias</t>
  </si>
  <si>
    <t>L</t>
  </si>
  <si>
    <t>Licença</t>
  </si>
  <si>
    <t>Diretor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</si>
  <si>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</si>
  <si>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</si>
  <si>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</si>
  <si>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</si>
  <si>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</si>
  <si>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</si>
  <si>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</si>
  <si>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</si>
  <si>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</si>
  <si>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</si>
  <si>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</si>
  <si>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</si>
  <si>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</si>
  <si>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</si>
  <si>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</si>
  <si>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</si>
  <si>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</si>
  <si>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</si>
  <si>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</si>
  <si>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</si>
  <si>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</si>
  <si>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</si>
  <si>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</si>
  <si>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</si>
  <si>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</si>
  <si>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</si>
  <si>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</si>
  <si>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</si>
  <si>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</si>
  <si>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</si>
  <si>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</si>
  <si>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Total de dias</t>
  </si>
  <si>
    <t>Thiago Guilherme Ferreira Prado</t>
  </si>
  <si>
    <t>DCA nº 2/316ª - Subst: Thiago Ivanoski (16 a 25/01) e Reinaldo (26 a 30/01)</t>
  </si>
  <si>
    <t>Reinaldo da Cruz Garcia</t>
  </si>
  <si>
    <t>Carlos Eduardo Cabral Carvalho</t>
  </si>
  <si>
    <t>RP nº 1/2026 - Subst: Thiago Prado - 29/12/25 a 15/01/26, de 16 a 25/1/26 (Ivanoski) e 26/01/26 (Heloísa)</t>
  </si>
  <si>
    <t>Heloisa Borges Bastos Esteves</t>
  </si>
  <si>
    <t>RP nº 94/2025 - Subst: Thiago Prado de 5 a 15/01 e Thiago Ivanoski (16/01)</t>
  </si>
  <si>
    <t>Thiago Ivanoski Teixeira</t>
  </si>
  <si>
    <t>RP nº 35/2026 - Subst: Heloísa (26/01) e de 27 a 31/01 (Cabral)</t>
  </si>
  <si>
    <t>Total de afastamentos</t>
  </si>
  <si>
    <t>Fevereiro 2026</t>
  </si>
  <si>
    <t>DCA nº  02/316ª - Subst: Cabral de 02/02</t>
  </si>
  <si>
    <t>Março 2026</t>
  </si>
  <si>
    <t xml:space="preserve">RP nº 38/2026 - Subst: Thiago Prado - 30/03 a 03/04/2026 </t>
  </si>
  <si>
    <t xml:space="preserve">RP nº 37/2026 - Subst: Thiago Prado - 09/03/2026 </t>
  </si>
  <si>
    <t>Abril 2026</t>
  </si>
  <si>
    <t>Maio 2026</t>
  </si>
  <si>
    <t>Junho 2026</t>
  </si>
  <si>
    <t>RP nº 35/2026 - Subst: Heloísa (12/06)</t>
  </si>
  <si>
    <t>RP nº 35/2026 - Subst: Heloísa de 15 a 26/06</t>
  </si>
  <si>
    <t>Julho 2026</t>
  </si>
  <si>
    <t>V</t>
  </si>
  <si>
    <t>Vacância</t>
  </si>
  <si>
    <t>DCA nº 02/316ª - Subst: Reinaldo de 27/07 a 07/08</t>
  </si>
  <si>
    <t>RP nº 37/2026 - Subst: Ivanoski - 27/07 a 07/08/2026</t>
  </si>
  <si>
    <t>Thiago Guilherme Ferreira Prado (Interino da DPG)</t>
  </si>
  <si>
    <t>RP nº 45/2026 - Subst: Ivanoski de 27/07 a 07/08</t>
  </si>
  <si>
    <t>Agosto 2026</t>
  </si>
  <si>
    <t xml:space="preserve">RP nº 38/2026 - Subst:Thiago Prado 08 a 17/08/2026 </t>
  </si>
  <si>
    <t>Setembro 2026</t>
  </si>
  <si>
    <t xml:space="preserve">RP nº 38/2026 - Subst:Thiago Prado 25/09 a 09/10/2026 </t>
  </si>
  <si>
    <t>RP nº 35/2026 - Subst: Cabral 08 a 18/09</t>
  </si>
  <si>
    <t>Outubro 2026</t>
  </si>
  <si>
    <t xml:space="preserve">RP nº 38/2026 - Subst: Thiago Prado 25/09 a 09/10/2026 </t>
  </si>
  <si>
    <t>Novembro 2026</t>
  </si>
  <si>
    <t>RP nº 94/2025 - Subst: Thiago Ivanoski de 24 a 29/11</t>
  </si>
  <si>
    <t>Dezembro 2026</t>
  </si>
  <si>
    <t>DCA nº 02/316ª - Subst: Cabral de 02 a 18/12</t>
  </si>
  <si>
    <t>RP nº 37/2026 - Subst: Thiago Prado - 30/12/2026 a 15/01/2027</t>
  </si>
  <si>
    <t>Total dias afastamento ao exterior</t>
  </si>
  <si>
    <t>Dias úteis 2024</t>
  </si>
  <si>
    <t>Mês/Diretor</t>
  </si>
  <si>
    <t>Janeiro</t>
  </si>
  <si>
    <t>Fevereiro</t>
  </si>
  <si>
    <t>Março</t>
  </si>
  <si>
    <t>Abril</t>
  </si>
  <si>
    <t>Maio</t>
  </si>
  <si>
    <t>Junho</t>
  </si>
  <si>
    <t>Julho</t>
  </si>
  <si>
    <t>Agosto</t>
  </si>
  <si>
    <t>Setembro</t>
  </si>
  <si>
    <t>Outubro</t>
  </si>
  <si>
    <t>Novembro</t>
  </si>
  <si>
    <t>Dezembro</t>
  </si>
  <si>
    <t xml:space="preserve">Total </t>
  </si>
  <si>
    <t>% afastamentos ao exterior 2024</t>
  </si>
  <si>
    <t>Cedidos: seguem as regras do órgão de origem.</t>
  </si>
  <si>
    <t>Demais:</t>
  </si>
  <si>
    <r>
      <t>1.</t>
    </r>
    <r>
      <rPr>
        <sz val="7"/>
        <rFont val="Times New Roman"/>
        <family val="1"/>
      </rPr>
      <t xml:space="preserve">     </t>
    </r>
    <r>
      <rPr>
        <sz val="10"/>
        <rFont val="Tahoma"/>
        <family val="2"/>
      </rPr>
      <t>Os membros da Diretoria Executiva farão jus a 30 dias de férias anuais, dentro do período de gestão.</t>
    </r>
  </si>
  <si>
    <r>
      <t>2.</t>
    </r>
    <r>
      <rPr>
        <sz val="7"/>
        <rFont val="Times New Roman"/>
        <family val="1"/>
      </rPr>
      <t xml:space="preserve">     </t>
    </r>
    <r>
      <rPr>
        <sz val="10"/>
        <rFont val="Tahoma"/>
        <family val="2"/>
      </rPr>
      <t>A programação de férias do Presidente da EPE deverá ser aprovada pelo Conselho de Administração, que designará o seu substituto dentre os membros da Diretoria Executiva.</t>
    </r>
  </si>
  <si>
    <r>
      <t>3.</t>
    </r>
    <r>
      <rPr>
        <sz val="7"/>
        <rFont val="Times New Roman"/>
        <family val="1"/>
      </rPr>
      <t xml:space="preserve">     </t>
    </r>
    <r>
      <rPr>
        <sz val="10"/>
        <rFont val="Tahoma"/>
        <family val="2"/>
      </rPr>
      <t>A programação de férias dos Diretores deverá ser apreciada pela Diretoria Executiva, com base na avaliação de oportunidade e conveniência do afastamento para a EPE.</t>
    </r>
  </si>
  <si>
    <r>
      <t>4.</t>
    </r>
    <r>
      <rPr>
        <sz val="7"/>
        <rFont val="Times New Roman"/>
        <family val="1"/>
      </rPr>
      <t xml:space="preserve">     </t>
    </r>
    <r>
      <rPr>
        <sz val="10"/>
        <rFont val="Tahoma"/>
        <family val="2"/>
      </rPr>
      <t>As férias dos membros da Diretoria Executiva serão concedidas pelo Presidente da EPE, conforme dispõe o inciso VIII do Art. 69 do Estatuto Social.</t>
    </r>
  </si>
  <si>
    <r>
      <t>5.</t>
    </r>
    <r>
      <rPr>
        <sz val="7"/>
        <rFont val="Times New Roman"/>
        <family val="1"/>
      </rPr>
      <t xml:space="preserve">     </t>
    </r>
    <r>
      <rPr>
        <sz val="10"/>
        <rFont val="Tahoma"/>
        <family val="2"/>
      </rPr>
      <t>As férias poderão ser usufruídas em um ou mais períodos, totalizando 30 (trinta) dias anuais.</t>
    </r>
  </si>
  <si>
    <r>
      <t>6.</t>
    </r>
    <r>
      <rPr>
        <sz val="7"/>
        <rFont val="Times New Roman"/>
        <family val="1"/>
      </rPr>
      <t xml:space="preserve">     </t>
    </r>
    <r>
      <rPr>
        <sz val="10"/>
        <rFont val="Tahoma"/>
        <family val="2"/>
      </rPr>
      <t>O Dirigente fará jus ao pagamento do adicional de férias de 1/3 dos honorários. O adicional de férias será pago integralmente no primeiro dia do primeiro período de férias, observada a programação orçamentária anual prevista na Planilha de Remuneração dos Administradores aprovada pela SEST e pela Assembleia Geral.</t>
    </r>
  </si>
  <si>
    <r>
      <t>7.</t>
    </r>
    <r>
      <rPr>
        <sz val="7"/>
        <rFont val="Times New Roman"/>
        <family val="1"/>
      </rPr>
      <t xml:space="preserve">     </t>
    </r>
    <r>
      <rPr>
        <sz val="10"/>
        <rFont val="Tahoma"/>
        <family val="2"/>
      </rPr>
      <t>É vedado o pagamento em dobro, bem como o acúmulo de dias de férias anuais não gozados.</t>
    </r>
  </si>
  <si>
    <r>
      <t>8.</t>
    </r>
    <r>
      <rPr>
        <sz val="7"/>
        <rFont val="Times New Roman"/>
        <family val="1"/>
      </rPr>
      <t xml:space="preserve">     </t>
    </r>
    <r>
      <rPr>
        <sz val="10"/>
        <rFont val="Tahoma"/>
        <family val="2"/>
      </rPr>
      <t>Não serão indenizadas as férias não usufruídas.</t>
    </r>
  </si>
  <si>
    <r>
      <t>9.</t>
    </r>
    <r>
      <rPr>
        <sz val="7"/>
        <rFont val="Times New Roman"/>
        <family val="1"/>
      </rPr>
      <t xml:space="preserve">     </t>
    </r>
    <r>
      <rPr>
        <sz val="10"/>
        <rFont val="Tahoma"/>
        <family val="2"/>
      </rPr>
      <t>É vedada a venda de dias de férias.</t>
    </r>
  </si>
  <si>
    <t>Período: de abril de um ano (1º ano do período de gestão) a março do outro.</t>
  </si>
  <si>
    <t>OBS: Pelo novo Estatuto Social (2021), pode acumular até 30 dias para o próximo ano (2º ano do período de gestão).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</si>
</sst>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R$&quot;\ * #,##0_-;\-&quot;R$&quot;\ * #,##0_-;_-&quot;R$&quot;\ * &quot;-&quot;_-;_-@_-"/>
    <numFmt numFmtId="165" formatCode="_-&quot;R$&quot;\ * #,##0.00_-;\-&quot;R$&quot;\ * #,##0.00_-;_-&quot;R$&quot;\ * &quot;-&quot;??_-;_-@_-"/>
    <numFmt numFmtId="166" formatCode="_(* #,##0_);_(* \(#,##0\);_(* &quot;-&quot;_);_(@_)"/>
    <numFmt numFmtId="167" formatCode="_(* #,##0.00_);_(* \(#,##0.00\);_(* &quot;-&quot;??_);_(@_)"/>
    <numFmt numFmtId="168" formatCode="0;0;"/>
    <numFmt numFmtId="169" formatCode="0.0%"/>
  </numFmts>
  <fonts count="39">
    <font>
      <sz val="11"/>
      <color theme="0"/>
      <name val="Calibri"/>
      <family val="2"/>
    </font>
    <font>
      <sz val="11"/>
      <color theme="1"/>
      <name val="Calibri"/>
      <family val="2"/>
      <scheme val="minor"/>
    </font>
    <font>
      <sz val="11"/>
      <color theme="0"/>
      <name val="Calibri"/>
      <family val="2"/>
      <scheme val="minor"/>
    </font>
    <font>
      <sz val="11"/>
      <color rgb="FF000000"/>
      <name val="Calibri"/>
      <family val="2"/>
      <scheme val="minor"/>
    </font>
    <font>
      <b/>
      <sz val="11"/>
      <color theme="0"/>
      <name val="Calibri"/>
      <family val="2"/>
      <scheme val="minor"/>
    </font>
    <font>
      <sz val="8"/>
      <name val="Calibri"/>
      <family val="2"/>
      <scheme val="minor"/>
    </font>
    <font>
      <b/>
      <sz val="11"/>
      <name val="Calibri"/>
      <family val="2"/>
      <scheme val="minor"/>
    </font>
    <font>
      <sz val="11"/>
      <color theme="1"/>
      <name val="Calibri"/>
      <family val="2"/>
      <charset val="134"/>
    </font>
    <font>
      <sz val="11"/>
      <color theme="1"/>
      <name val="Calibri"/>
      <family val="2"/>
    </font>
    <font>
      <b/>
      <sz val="11"/>
      <color theme="1"/>
      <name val="Calibri"/>
      <family val="2"/>
    </font>
    <font>
      <sz val="11"/>
      <color theme="0"/>
      <name val="Calibri"/>
      <family val="2"/>
    </font>
    <font>
      <sz val="11"/>
      <color theme="0"/>
      <name val="Calibri"/>
      <family val="2"/>
      <charset val="134"/>
    </font>
    <font>
      <sz val="11"/>
      <color rgb="FF9C0006"/>
      <name val="Calibri"/>
      <family val="2"/>
      <charset val="134"/>
    </font>
    <font>
      <b/>
      <sz val="11"/>
      <color rgb="FFFA7D00"/>
      <name val="Calibri"/>
      <family val="2"/>
      <charset val="134"/>
    </font>
    <font>
      <b/>
      <sz val="11"/>
      <color theme="0"/>
      <name val="Calibri"/>
      <family val="2"/>
      <charset val="134"/>
    </font>
    <font>
      <i/>
      <sz val="11"/>
      <color rgb="FF7F7F7F"/>
      <name val="Calibri"/>
      <family val="2"/>
      <charset val="134"/>
    </font>
    <font>
      <sz val="11"/>
      <color rgb="FF006100"/>
      <name val="Calibri"/>
      <family val="2"/>
      <charset val="134"/>
    </font>
    <font>
      <b/>
      <sz val="26"/>
      <color theme="3" tint="-0.24994659260841701"/>
      <name val="Calibri"/>
      <family val="2"/>
    </font>
    <font>
      <b/>
      <sz val="18"/>
      <color theme="4" tint="-0.24994659260841701"/>
      <name val="Calibri"/>
      <family val="2"/>
    </font>
    <font>
      <sz val="11"/>
      <color rgb="FF3F3F76"/>
      <name val="Calibri"/>
      <family val="2"/>
      <charset val="134"/>
    </font>
    <font>
      <sz val="11"/>
      <color rgb="FFFA7D00"/>
      <name val="Calibri"/>
      <family val="2"/>
      <charset val="134"/>
    </font>
    <font>
      <sz val="11"/>
      <color rgb="FF9C5700"/>
      <name val="Calibri"/>
      <family val="2"/>
      <charset val="134"/>
    </font>
    <font>
      <b/>
      <sz val="11"/>
      <color rgb="FF3F3F3F"/>
      <name val="Calibri"/>
      <family val="2"/>
      <charset val="134"/>
    </font>
    <font>
      <sz val="11"/>
      <color theme="4" tint="-0.499984740745262"/>
      <name val="Calibri"/>
      <family val="2"/>
    </font>
    <font>
      <b/>
      <sz val="26"/>
      <color theme="3"/>
      <name val="Calibri"/>
      <family val="2"/>
    </font>
    <font>
      <sz val="11"/>
      <color rgb="FFFF0000"/>
      <name val="Calibri"/>
      <family val="2"/>
      <charset val="134"/>
    </font>
    <font>
      <sz val="9"/>
      <name val="DengXian"/>
      <family val="3"/>
      <charset val="134"/>
    </font>
    <font>
      <b/>
      <sz val="48"/>
      <color theme="6" tint="0.39997558519241921"/>
      <name val="Calibri"/>
      <family val="2"/>
      <scheme val="minor"/>
    </font>
    <font>
      <sz val="11"/>
      <name val="Calibri"/>
      <family val="2"/>
    </font>
    <font>
      <sz val="8"/>
      <name val="Calibri"/>
      <family val="2"/>
    </font>
    <font>
      <b/>
      <sz val="11"/>
      <name val="Calibri"/>
      <family val="2"/>
    </font>
    <font>
      <sz val="10"/>
      <name val="Arial"/>
      <family val="2"/>
    </font>
    <font>
      <sz val="10"/>
      <name val="Tahoma"/>
      <family val="2"/>
    </font>
    <font>
      <sz val="7"/>
      <name val="Times New Roman"/>
      <family val="1"/>
    </font>
    <font>
      <b/>
      <sz val="10"/>
      <name val="Arial"/>
      <family val="2"/>
    </font>
    <font>
      <u/>
      <sz val="11"/>
      <color theme="10"/>
      <name val="Calibri"/>
      <family val="2"/>
    </font>
    <font>
      <sz val="10"/>
      <color theme="0"/>
      <name val="Calibri"/>
      <family val="2"/>
    </font>
    <font>
      <sz val="10"/>
      <color theme="1"/>
      <name val="Calibri"/>
      <family val="2"/>
    </font>
    <font>
      <sz val="11"/>
      <name val="Calibri"/>
      <family val="2"/>
      <scheme val="minor"/>
    </font>
  </fonts>
  <fills count="37">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tint="0.79998168889431442"/>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4" tint="0.89999084444715716"/>
        <bgColor indexed="64"/>
      </patternFill>
    </fill>
    <fill>
      <patternFill patternType="solid">
        <fgColor theme="7" tint="0.79998168889431442"/>
        <bgColor indexed="64"/>
      </patternFill>
    </fill>
    <fill>
      <patternFill patternType="solid">
        <fgColor theme="7" tint="0.59999389629810485"/>
        <bgColor indexed="64"/>
      </patternFill>
    </fill>
  </fills>
  <borders count="14">
    <border>
      <left/>
      <right/>
      <top/>
      <bottom/>
      <diagonal/>
    </border>
    <border>
      <left/>
      <right/>
      <top/>
      <bottom style="thin">
        <color theme="4"/>
      </bottom>
      <diagonal/>
    </border>
    <border>
      <left/>
      <right/>
      <top style="thin">
        <color theme="4"/>
      </top>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alignment horizontal="left" vertical="center"/>
    </xf>
    <xf numFmtId="0" fontId="24" fillId="0" borderId="0" applyNumberFormat="0" applyFill="0" applyBorder="0" applyProtection="0">
      <alignment vertical="top"/>
    </xf>
    <xf numFmtId="0" fontId="17" fillId="0" borderId="0" applyNumberFormat="0" applyFill="0" applyBorder="0" applyProtection="0">
      <alignment vertical="top"/>
    </xf>
    <xf numFmtId="0" fontId="18" fillId="2" borderId="0" applyNumberFormat="0" applyBorder="0" applyProtection="0">
      <alignment horizontal="center" vertical="center"/>
    </xf>
    <xf numFmtId="0" fontId="9" fillId="20" borderId="0" applyNumberFormat="0" applyProtection="0">
      <alignment horizontal="right" vertical="center" indent="1"/>
    </xf>
    <xf numFmtId="0" fontId="8" fillId="0" borderId="0" applyNumberFormat="0" applyFill="0" applyBorder="0" applyProtection="0">
      <alignment horizontal="left" vertical="center" indent="2"/>
    </xf>
    <xf numFmtId="0" fontId="10" fillId="3" borderId="0" applyNumberFormat="0" applyBorder="0" applyAlignment="0" applyProtection="0"/>
    <xf numFmtId="0" fontId="8" fillId="4" borderId="0" applyNumberFormat="0" applyBorder="0" applyProtection="0">
      <alignment horizontal="center" vertical="center"/>
    </xf>
    <xf numFmtId="0" fontId="9" fillId="9" borderId="0" applyNumberFormat="0" applyBorder="0" applyAlignment="0" applyProtection="0"/>
    <xf numFmtId="0" fontId="8" fillId="5" borderId="0" applyNumberFormat="0" applyBorder="0" applyAlignment="0" applyProtection="0"/>
    <xf numFmtId="0" fontId="10" fillId="7" borderId="0" applyNumberFormat="0" applyBorder="0" applyAlignment="0" applyProtection="0"/>
    <xf numFmtId="0" fontId="8" fillId="6" borderId="0" applyNumberFormat="0" applyBorder="0" applyAlignment="0" applyProtection="0"/>
    <xf numFmtId="0" fontId="9" fillId="15" borderId="0" applyNumberFormat="0" applyBorder="0" applyAlignment="0" applyProtection="0"/>
    <xf numFmtId="0" fontId="8" fillId="8" borderId="0" applyNumberFormat="0" applyBorder="0" applyAlignment="0" applyProtection="0"/>
    <xf numFmtId="0" fontId="10" fillId="15" borderId="0" applyNumberFormat="0" applyBorder="0" applyAlignment="0" applyProtection="0"/>
    <xf numFmtId="0" fontId="8" fillId="18" borderId="0" applyNumberFormat="0" applyBorder="0" applyAlignment="0" applyProtection="0"/>
    <xf numFmtId="0" fontId="9" fillId="17"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9" fillId="10" borderId="0" applyNumberFormat="0" applyBorder="0" applyAlignment="0" applyProtection="0"/>
    <xf numFmtId="0" fontId="10" fillId="11" borderId="0" applyNumberFormat="0" applyBorder="0" applyAlignment="0" applyProtection="0"/>
    <xf numFmtId="0" fontId="8" fillId="2" borderId="0" applyNumberFormat="0" applyBorder="0" applyAlignment="0" applyProtection="0"/>
    <xf numFmtId="0" fontId="9" fillId="12" borderId="0" applyNumberFormat="0" applyBorder="0" applyProtection="0">
      <alignment horizontal="left" vertical="center" indent="1"/>
    </xf>
    <xf numFmtId="0" fontId="9" fillId="13" borderId="0" applyNumberFormat="0" applyBorder="0" applyAlignment="0" applyProtection="0"/>
    <xf numFmtId="0" fontId="9" fillId="14" borderId="0" applyNumberFormat="0" applyBorder="0" applyAlignment="0" applyProtection="0"/>
    <xf numFmtId="1" fontId="8" fillId="0" borderId="0" applyFill="0" applyBorder="0" applyProtection="0">
      <alignment horizontal="center" vertical="center"/>
    </xf>
    <xf numFmtId="0" fontId="8" fillId="0" borderId="0" applyNumberFormat="0" applyFill="0" applyBorder="0">
      <alignment horizontal="left" vertical="center" wrapText="1" indent="2"/>
    </xf>
    <xf numFmtId="0" fontId="23" fillId="0" borderId="0">
      <alignment horizontal="center"/>
    </xf>
    <xf numFmtId="167" fontId="10" fillId="0" borderId="0" applyFont="0" applyFill="0" applyBorder="0" applyAlignment="0" applyProtection="0">
      <alignment vertical="center"/>
    </xf>
    <xf numFmtId="166" fontId="10" fillId="0" borderId="0" applyFont="0" applyFill="0" applyBorder="0" applyAlignment="0" applyProtection="0">
      <alignment vertical="center"/>
    </xf>
    <xf numFmtId="165" fontId="10" fillId="0" borderId="0" applyFont="0" applyFill="0" applyBorder="0" applyAlignment="0" applyProtection="0">
      <alignment vertical="center"/>
    </xf>
    <xf numFmtId="164"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6" fillId="22" borderId="0" applyNumberFormat="0" applyBorder="0" applyAlignment="0" applyProtection="0">
      <alignment vertical="center"/>
    </xf>
    <xf numFmtId="0" fontId="12" fillId="23" borderId="0" applyNumberFormat="0" applyBorder="0" applyAlignment="0" applyProtection="0">
      <alignment vertical="center"/>
    </xf>
    <xf numFmtId="0" fontId="21" fillId="24" borderId="0" applyNumberFormat="0" applyBorder="0" applyAlignment="0" applyProtection="0">
      <alignment vertical="center"/>
    </xf>
    <xf numFmtId="0" fontId="19" fillId="25" borderId="5" applyNumberFormat="0" applyAlignment="0" applyProtection="0">
      <alignment vertical="center"/>
    </xf>
    <xf numFmtId="0" fontId="22" fillId="26" borderId="6" applyNumberFormat="0" applyAlignment="0" applyProtection="0">
      <alignment vertical="center"/>
    </xf>
    <xf numFmtId="0" fontId="13" fillId="26" borderId="5" applyNumberFormat="0" applyAlignment="0" applyProtection="0">
      <alignment vertical="center"/>
    </xf>
    <xf numFmtId="0" fontId="20" fillId="0" borderId="7" applyNumberFormat="0" applyFill="0" applyAlignment="0" applyProtection="0">
      <alignment vertical="center"/>
    </xf>
    <xf numFmtId="0" fontId="14" fillId="27" borderId="8" applyNumberFormat="0" applyAlignment="0" applyProtection="0">
      <alignment vertical="center"/>
    </xf>
    <xf numFmtId="0" fontId="25" fillId="0" borderId="0" applyNumberFormat="0" applyFill="0" applyBorder="0" applyAlignment="0" applyProtection="0">
      <alignment vertical="center"/>
    </xf>
    <xf numFmtId="0" fontId="10" fillId="28" borderId="9" applyNumberFormat="0" applyFont="0" applyAlignment="0" applyProtection="0">
      <alignment vertical="center"/>
    </xf>
    <xf numFmtId="0" fontId="15" fillId="0" borderId="0" applyNumberFormat="0" applyFill="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1" fillId="0" borderId="0"/>
    <xf numFmtId="0" fontId="35" fillId="0" borderId="0" applyNumberFormat="0" applyFill="0" applyBorder="0" applyAlignment="0" applyProtection="0">
      <alignment horizontal="left" vertical="center"/>
    </xf>
    <xf numFmtId="0" fontId="35" fillId="0" borderId="0" applyNumberFormat="0" applyFill="0" applyBorder="0" applyAlignment="0" applyProtection="0">
      <alignment horizontal="left" vertical="center"/>
    </xf>
  </cellStyleXfs>
  <cellXfs count="89">
    <xf numFmtId="0" fontId="0" fillId="0" borderId="0" xfId="0">
      <alignment horizontal="left" vertical="center"/>
    </xf>
    <xf numFmtId="0" fontId="0" fillId="0" borderId="0" xfId="0" applyAlignment="1">
      <alignment horizontal="center" vertical="center"/>
    </xf>
    <xf numFmtId="0" fontId="8" fillId="0" borderId="0" xfId="26" applyFill="1" applyBorder="1">
      <alignment horizontal="left" vertical="center" wrapText="1" indent="2"/>
    </xf>
    <xf numFmtId="1" fontId="8" fillId="0" borderId="0" xfId="25" applyFill="1" applyBorder="1" applyProtection="1">
      <alignment horizontal="center" vertical="center"/>
    </xf>
    <xf numFmtId="168" fontId="0" fillId="0" borderId="0" xfId="0" applyNumberFormat="1" applyAlignment="1">
      <alignment horizontal="center" vertical="center"/>
    </xf>
    <xf numFmtId="0" fontId="18" fillId="0" borderId="0" xfId="3" applyFill="1" applyProtection="1">
      <alignment horizontal="center" vertical="center"/>
    </xf>
    <xf numFmtId="0" fontId="0" fillId="0" borderId="1" xfId="0" applyBorder="1">
      <alignment horizontal="left" vertical="center"/>
    </xf>
    <xf numFmtId="0" fontId="24" fillId="0" borderId="2" xfId="1" applyBorder="1" applyAlignment="1" applyProtection="1">
      <alignment vertical="center"/>
    </xf>
    <xf numFmtId="0" fontId="0" fillId="0" borderId="2" xfId="0" applyBorder="1">
      <alignment horizontal="left" vertical="center"/>
    </xf>
    <xf numFmtId="0" fontId="0" fillId="0" borderId="0" xfId="0" applyAlignment="1">
      <alignment horizontal="left" vertical="top"/>
    </xf>
    <xf numFmtId="0" fontId="0" fillId="0" borderId="0" xfId="0" applyAlignment="1">
      <alignment horizontal="left" indent="1"/>
    </xf>
    <xf numFmtId="0" fontId="0" fillId="0" borderId="3" xfId="0" applyBorder="1" applyAlignment="1">
      <alignment horizontal="left" indent="1"/>
    </xf>
    <xf numFmtId="0" fontId="0" fillId="0" borderId="4" xfId="0" applyBorder="1">
      <alignment horizontal="left" vertical="center"/>
    </xf>
    <xf numFmtId="0" fontId="23" fillId="0" borderId="4" xfId="27" applyBorder="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8" fillId="21" borderId="0" xfId="21" applyFill="1" applyBorder="1" applyAlignment="1" applyProtection="1">
      <alignment horizontal="center" vertical="center"/>
    </xf>
    <xf numFmtId="0" fontId="6" fillId="13" borderId="0" xfId="23" applyFont="1" applyAlignment="1" applyProtection="1">
      <alignment horizontal="center" vertical="center"/>
    </xf>
    <xf numFmtId="0" fontId="6" fillId="15" borderId="0" xfId="12" applyFont="1" applyAlignment="1" applyProtection="1">
      <alignment horizontal="center" vertical="center"/>
    </xf>
    <xf numFmtId="168" fontId="4" fillId="0" borderId="0" xfId="24" applyNumberFormat="1" applyFont="1" applyFill="1" applyAlignment="1" applyProtection="1">
      <alignment horizontal="center" vertical="center"/>
    </xf>
    <xf numFmtId="0" fontId="8" fillId="0" borderId="0" xfId="21" applyFill="1" applyBorder="1" applyAlignment="1" applyProtection="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1" fontId="8" fillId="0" borderId="0" xfId="25" applyProtection="1">
      <alignment horizontal="center" vertical="center"/>
      <protection locked="0"/>
    </xf>
    <xf numFmtId="0" fontId="9" fillId="0" borderId="0" xfId="4" applyFill="1" applyAlignment="1" applyProtection="1">
      <alignment horizontal="center" vertical="center"/>
    </xf>
    <xf numFmtId="0" fontId="28" fillId="0" borderId="0" xfId="0" applyFont="1">
      <alignment horizontal="left" vertical="center"/>
    </xf>
    <xf numFmtId="0" fontId="28" fillId="0" borderId="0" xfId="0" applyFont="1" applyAlignment="1">
      <alignment horizontal="center" vertical="center"/>
    </xf>
    <xf numFmtId="0" fontId="28" fillId="0" borderId="10" xfId="0" applyFont="1" applyBorder="1" applyAlignment="1">
      <alignment horizontal="center" vertical="center" wrapText="1"/>
    </xf>
    <xf numFmtId="0" fontId="28" fillId="0" borderId="10" xfId="0" applyFont="1" applyBorder="1">
      <alignment horizontal="left" vertical="center"/>
    </xf>
    <xf numFmtId="0" fontId="28" fillId="0" borderId="10" xfId="0" applyFont="1" applyBorder="1" applyAlignment="1">
      <alignment horizontal="center" vertical="center"/>
    </xf>
    <xf numFmtId="169" fontId="28" fillId="0" borderId="10" xfId="32" applyNumberFormat="1" applyFont="1" applyBorder="1" applyAlignment="1">
      <alignment horizontal="center" vertical="center"/>
    </xf>
    <xf numFmtId="1" fontId="2" fillId="0" borderId="0" xfId="25" applyFont="1" applyProtection="1">
      <alignment horizontal="center" vertical="center"/>
    </xf>
    <xf numFmtId="168" fontId="4" fillId="21" borderId="0" xfId="24" applyNumberFormat="1" applyFont="1" applyFill="1" applyAlignment="1" applyProtection="1">
      <alignment horizontal="center" vertical="center"/>
    </xf>
    <xf numFmtId="0" fontId="8" fillId="0" borderId="0" xfId="0" applyFont="1">
      <alignment horizontal="left" vertical="center"/>
    </xf>
    <xf numFmtId="0" fontId="8" fillId="0" borderId="0" xfId="21" applyFill="1" applyAlignment="1" applyProtection="1">
      <alignment vertical="center"/>
    </xf>
    <xf numFmtId="49" fontId="27" fillId="0" borderId="0" xfId="3" applyNumberFormat="1" applyFont="1" applyFill="1" applyAlignment="1" applyProtection="1">
      <alignment vertical="top"/>
    </xf>
    <xf numFmtId="0" fontId="8" fillId="0" borderId="0" xfId="26" applyNumberFormat="1" applyFill="1" applyBorder="1">
      <alignment horizontal="left" vertical="center" wrapText="1" indent="2"/>
    </xf>
    <xf numFmtId="1" fontId="8" fillId="0" borderId="0" xfId="25" applyProtection="1">
      <alignment horizontal="center" vertical="center"/>
    </xf>
    <xf numFmtId="0" fontId="8" fillId="21" borderId="0" xfId="21" applyFill="1" applyAlignment="1" applyProtection="1">
      <alignment vertical="center"/>
    </xf>
    <xf numFmtId="1" fontId="8" fillId="0" borderId="0" xfId="25" applyAlignment="1" applyProtection="1">
      <alignment vertical="center"/>
      <protection locked="0"/>
    </xf>
    <xf numFmtId="1" fontId="8" fillId="0" borderId="0" xfId="25" applyAlignment="1" applyProtection="1">
      <alignment horizontal="left" vertical="center"/>
      <protection locked="0"/>
    </xf>
    <xf numFmtId="1" fontId="8" fillId="0" borderId="0" xfId="25" quotePrefix="1" applyFill="1" applyBorder="1" applyProtection="1">
      <alignment horizontal="center" vertical="center"/>
    </xf>
    <xf numFmtId="0" fontId="0" fillId="0" borderId="4" xfId="0" applyBorder="1" applyAlignment="1">
      <alignment horizontal="center" vertical="center"/>
    </xf>
    <xf numFmtId="0" fontId="3" fillId="0" borderId="12" xfId="0" applyFont="1" applyBorder="1" applyAlignment="1"/>
    <xf numFmtId="0" fontId="3" fillId="0" borderId="3" xfId="0" applyFont="1" applyBorder="1" applyAlignment="1"/>
    <xf numFmtId="0" fontId="30" fillId="34" borderId="10" xfId="0" applyFont="1" applyFill="1" applyBorder="1" applyAlignment="1">
      <alignment horizontal="center" vertical="center"/>
    </xf>
    <xf numFmtId="0" fontId="30" fillId="34" borderId="10" xfId="0" applyFont="1" applyFill="1" applyBorder="1" applyAlignment="1">
      <alignment horizontal="center" vertical="center" wrapText="1"/>
    </xf>
    <xf numFmtId="0" fontId="28" fillId="35" borderId="10" xfId="0" applyFont="1" applyFill="1" applyBorder="1">
      <alignment horizontal="left" vertical="center"/>
    </xf>
    <xf numFmtId="0" fontId="28" fillId="35" borderId="10" xfId="0" applyFont="1" applyFill="1" applyBorder="1" applyAlignment="1">
      <alignment horizontal="center" vertical="center"/>
    </xf>
    <xf numFmtId="0" fontId="28" fillId="35" borderId="10" xfId="0" applyFont="1" applyFill="1" applyBorder="1" applyAlignment="1">
      <alignment horizontal="center" vertical="center" wrapText="1"/>
    </xf>
    <xf numFmtId="169" fontId="28" fillId="35" borderId="10" xfId="32" applyNumberFormat="1" applyFont="1" applyFill="1" applyBorder="1" applyAlignment="1">
      <alignment horizontal="center" vertical="center"/>
    </xf>
    <xf numFmtId="0" fontId="31" fillId="0" borderId="0" xfId="49"/>
    <xf numFmtId="0" fontId="32" fillId="0" borderId="0" xfId="49" applyFont="1" applyAlignment="1">
      <alignment horizontal="justify" vertical="center" wrapText="1"/>
    </xf>
    <xf numFmtId="0" fontId="34" fillId="0" borderId="0" xfId="49" applyFont="1"/>
    <xf numFmtId="1" fontId="35" fillId="0" borderId="0" xfId="50" applyNumberFormat="1" applyAlignment="1" applyProtection="1">
      <alignment horizontal="left" vertical="center"/>
      <protection locked="0"/>
    </xf>
    <xf numFmtId="1" fontId="35" fillId="0" borderId="0" xfId="51" applyNumberFormat="1" applyAlignment="1" applyProtection="1">
      <alignment horizontal="left" vertical="center"/>
      <protection locked="0"/>
    </xf>
    <xf numFmtId="0" fontId="0" fillId="0" borderId="0" xfId="0" applyAlignment="1">
      <alignment horizontal="left" vertical="center" indent="3"/>
    </xf>
    <xf numFmtId="0" fontId="0" fillId="0" borderId="0" xfId="0" applyAlignment="1">
      <alignment horizontal="left" vertical="center" indent="4"/>
    </xf>
    <xf numFmtId="0" fontId="0" fillId="0" borderId="0" xfId="0" applyAlignment="1">
      <alignment horizontal="right" vertical="center"/>
    </xf>
    <xf numFmtId="1" fontId="8" fillId="0" borderId="0" xfId="25" applyAlignment="1" applyProtection="1">
      <alignment horizontal="right" vertical="center"/>
      <protection locked="0"/>
    </xf>
    <xf numFmtId="0" fontId="36" fillId="0" borderId="0" xfId="0" applyFont="1">
      <alignment horizontal="left" vertical="center"/>
    </xf>
    <xf numFmtId="0" fontId="36" fillId="0" borderId="0" xfId="0" applyFont="1" applyAlignment="1">
      <alignment horizontal="center" vertical="center" wrapText="1"/>
    </xf>
    <xf numFmtId="1" fontId="37" fillId="0" borderId="0" xfId="25" applyFont="1" applyAlignment="1" applyProtection="1">
      <alignment horizontal="center" vertical="center" wrapText="1"/>
    </xf>
    <xf numFmtId="1" fontId="37" fillId="0" borderId="0" xfId="25" applyFont="1" applyFill="1" applyBorder="1" applyAlignment="1" applyProtection="1">
      <alignment horizontal="center" vertical="center" wrapText="1"/>
    </xf>
    <xf numFmtId="0" fontId="36"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21" borderId="0" xfId="0" applyFill="1" applyAlignment="1">
      <alignment horizontal="center" vertical="center"/>
    </xf>
    <xf numFmtId="0" fontId="9" fillId="21" borderId="0" xfId="21" applyFont="1" applyFill="1" applyAlignment="1" applyProtection="1">
      <alignment horizontal="center" vertical="center"/>
    </xf>
    <xf numFmtId="1" fontId="38" fillId="0" borderId="0" xfId="25" applyFont="1" applyAlignment="1" applyProtection="1">
      <alignment horizontal="left" vertical="center"/>
    </xf>
    <xf numFmtId="1" fontId="2" fillId="0" borderId="0" xfId="25" applyFont="1" applyAlignment="1" applyProtection="1">
      <alignment horizontal="right" vertical="center"/>
    </xf>
    <xf numFmtId="1" fontId="2" fillId="0" borderId="0" xfId="25" applyFont="1" applyAlignment="1" applyProtection="1">
      <alignment horizontal="left" vertical="center"/>
    </xf>
    <xf numFmtId="0" fontId="6" fillId="21" borderId="0" xfId="19" applyFont="1" applyFill="1" applyAlignment="1" applyProtection="1">
      <alignment horizontal="center" vertical="center"/>
    </xf>
    <xf numFmtId="168" fontId="0" fillId="0" borderId="0" xfId="0" applyNumberFormat="1" applyAlignment="1">
      <alignment vertical="center"/>
    </xf>
    <xf numFmtId="0" fontId="6" fillId="35" borderId="0" xfId="19" applyFont="1" applyFill="1" applyAlignment="1" applyProtection="1">
      <alignment horizontal="center" vertical="center"/>
    </xf>
    <xf numFmtId="0" fontId="0" fillId="36" borderId="0" xfId="0" applyFill="1" applyAlignment="1">
      <alignment horizontal="center" vertical="center"/>
    </xf>
    <xf numFmtId="49" fontId="27" fillId="0" borderId="1" xfId="3" applyNumberFormat="1" applyFont="1" applyFill="1" applyBorder="1" applyAlignment="1" applyProtection="1">
      <alignment horizontal="center" vertical="top"/>
    </xf>
    <xf numFmtId="0" fontId="8" fillId="0" borderId="0" xfId="21" applyFill="1" applyAlignment="1" applyProtection="1">
      <alignment horizontal="center" vertical="center"/>
    </xf>
    <xf numFmtId="0" fontId="8" fillId="21" borderId="0" xfId="21" applyFill="1" applyAlignment="1" applyProtection="1">
      <alignment horizontal="center" vertical="center"/>
    </xf>
    <xf numFmtId="0" fontId="18" fillId="0" borderId="0" xfId="3" applyFill="1" applyAlignment="1" applyProtection="1">
      <alignment horizontal="left" vertical="center"/>
    </xf>
    <xf numFmtId="49" fontId="27" fillId="0" borderId="0" xfId="3" applyNumberFormat="1" applyFont="1" applyFill="1" applyAlignment="1" applyProtection="1">
      <alignment horizontal="center" vertical="top"/>
    </xf>
    <xf numFmtId="0" fontId="28" fillId="0" borderId="0" xfId="0" applyFont="1" applyAlignment="1">
      <alignment horizontal="center" vertical="center" wrapText="1"/>
    </xf>
    <xf numFmtId="0" fontId="18" fillId="0" borderId="3" xfId="3" applyFill="1" applyBorder="1" applyAlignment="1" applyProtection="1">
      <alignment horizontal="left" vertical="center"/>
    </xf>
    <xf numFmtId="0" fontId="8" fillId="0" borderId="0" xfId="21" applyFill="1" applyAlignment="1" applyProtection="1">
      <alignment horizontal="left" vertical="center" indent="1"/>
    </xf>
    <xf numFmtId="0" fontId="18" fillId="0" borderId="2" xfId="3" applyFill="1" applyBorder="1" applyAlignment="1" applyProtection="1">
      <alignment horizontal="left" vertical="center"/>
    </xf>
    <xf numFmtId="0" fontId="30" fillId="34" borderId="11" xfId="0" applyFont="1" applyFill="1" applyBorder="1" applyAlignment="1">
      <alignment horizontal="center" vertical="center" wrapText="1"/>
    </xf>
    <xf numFmtId="0" fontId="30" fillId="34" borderId="12" xfId="0" applyFont="1" applyFill="1" applyBorder="1" applyAlignment="1">
      <alignment horizontal="center" vertical="center" wrapText="1"/>
    </xf>
    <xf numFmtId="0" fontId="30" fillId="34" borderId="13" xfId="0" applyFont="1" applyFill="1" applyBorder="1" applyAlignment="1">
      <alignment horizontal="center" vertical="center" wrapText="1"/>
    </xf>
  </cellXfs>
  <cellStyles count="52">
    <cellStyle name="20% - Ênfase1" xfId="15" builtinId="30" customBuiltin="1"/>
    <cellStyle name="20% - Ênfase2" xfId="44" builtinId="34" customBuiltin="1"/>
    <cellStyle name="20% - Ênfase3" xfId="21" builtinId="38" customBuiltin="1"/>
    <cellStyle name="20% - Ênfase4" xfId="7" builtinId="42" customBuiltin="1"/>
    <cellStyle name="20% - Ênfase5" xfId="47" builtinId="46" customBuiltin="1"/>
    <cellStyle name="20% - Ênfase6" xfId="11" builtinId="50" customBuiltin="1"/>
    <cellStyle name="40% - Ênfase1" xfId="16" builtinId="31" customBuiltin="1"/>
    <cellStyle name="40% - Ênfase2" xfId="19" builtinId="35" customBuiltin="1"/>
    <cellStyle name="40% - Ênfase3" xfId="22" builtinId="39" customBuiltin="1"/>
    <cellStyle name="40% - Ênfase4" xfId="8" builtinId="43" customBuiltin="1"/>
    <cellStyle name="40% - Ênfase5" xfId="24" builtinId="47" customBuiltin="1"/>
    <cellStyle name="40% - Ênfase6" xfId="12" builtinId="51" customBuiltin="1"/>
    <cellStyle name="60% - Ênfase1" xfId="17" builtinId="32" customBuiltin="1"/>
    <cellStyle name="60% - Ênfase2" xfId="45" builtinId="36" customBuiltin="1"/>
    <cellStyle name="60% - Ênfase3" xfId="23" builtinId="40" customBuiltin="1"/>
    <cellStyle name="60% - Ênfase4" xfId="9" builtinId="44" customBuiltin="1"/>
    <cellStyle name="60% - Ênfase5" xfId="48" builtinId="48" customBuiltin="1"/>
    <cellStyle name="60% - Ênfase6" xfId="13" builtinId="52" customBuiltin="1"/>
    <cellStyle name="Bom" xfId="33" builtinId="26" customBuiltin="1"/>
    <cellStyle name="Cálculo" xfId="38" builtinId="22" customBuiltin="1"/>
    <cellStyle name="Célula de Verificação" xfId="40" builtinId="23" customBuiltin="1"/>
    <cellStyle name="Célula Vinculada" xfId="39" builtinId="24" customBuiltin="1"/>
    <cellStyle name="Ênfase1" xfId="14" builtinId="29" customBuiltin="1"/>
    <cellStyle name="Ênfase2" xfId="18" builtinId="33" customBuiltin="1"/>
    <cellStyle name="Ênfase3" xfId="20" builtinId="37" customBuiltin="1"/>
    <cellStyle name="Ênfase4" xfId="6" builtinId="41" customBuiltin="1"/>
    <cellStyle name="Ênfase5" xfId="46" builtinId="45" customBuiltin="1"/>
    <cellStyle name="Ênfase6" xfId="10" builtinId="49" customBuiltin="1"/>
    <cellStyle name="Entrada" xfId="36" builtinId="20" customBuiltin="1"/>
    <cellStyle name="Funcionário" xfId="26" xr:uid="{00000000-0005-0000-0000-000013000000}"/>
    <cellStyle name="Hiperlink" xfId="50" builtinId="8"/>
    <cellStyle name="Hyperlink" xfId="51" xr:uid="{00000000-000B-0000-0000-000008000000}"/>
    <cellStyle name="Moeda" xfId="30" builtinId="4" customBuiltin="1"/>
    <cellStyle name="Moeda [0]" xfId="31" builtinId="7" customBuiltin="1"/>
    <cellStyle name="Neutro" xfId="35" builtinId="28" customBuiltin="1"/>
    <cellStyle name="Normal" xfId="0" builtinId="0" customBuiltin="1"/>
    <cellStyle name="Normal 2" xfId="49" xr:uid="{7FF6850C-470A-419A-98E7-D51EC9595CBF}"/>
    <cellStyle name="Nota" xfId="42" builtinId="10" customBuiltin="1"/>
    <cellStyle name="Porcentagem" xfId="32" builtinId="5" customBuiltin="1"/>
    <cellStyle name="Rótulo" xfId="27" xr:uid="{00000000-0005-0000-0000-000018000000}"/>
    <cellStyle name="Ruim" xfId="34" builtinId="27" customBuiltin="1"/>
    <cellStyle name="Saída" xfId="37" builtinId="21" customBuiltin="1"/>
    <cellStyle name="Separador de milhares [0]" xfId="29" builtinId="6" customBuiltin="1"/>
    <cellStyle name="Texto de Aviso" xfId="41" builtinId="11" customBuiltin="1"/>
    <cellStyle name="Texto Explicativo" xfId="43"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25" builtinId="25" customBuiltin="1"/>
    <cellStyle name="Vírgula" xfId="28" builtinId="3" customBuiltin="1"/>
  </cellStyles>
  <dxfs count="1165">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theme="9" tint="-0.24994659260841701"/>
        </patternFill>
      </fill>
    </dxf>
    <dxf>
      <fill>
        <patternFill>
          <bgColor theme="6" tint="0.39994506668294322"/>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general"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ill>
        <patternFill>
          <bgColor theme="6" tint="0.39994506668294322"/>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rgb="FFFF6600"/>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ill>
        <patternFill>
          <fgColor theme="9" tint="-0.24994659260841701"/>
        </patternFill>
      </fill>
    </dxf>
    <dxf>
      <fill>
        <patternFill>
          <bgColor rgb="FFFF6600"/>
        </patternFill>
      </fill>
    </dxf>
    <dxf>
      <fill>
        <patternFill>
          <bgColor theme="9" tint="-0.24994659260841701"/>
        </patternFill>
      </fill>
    </dxf>
    <dxf>
      <font>
        <color theme="1"/>
      </font>
      <fill>
        <patternFill>
          <bgColor theme="7" tint="0.59996337778862885"/>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ill>
        <patternFill>
          <bgColor rgb="FFFF6600"/>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6" tint="0.39994506668294322"/>
        </patternFill>
      </fill>
    </dxf>
    <dxf>
      <fill>
        <patternFill>
          <bgColor theme="9" tint="-0.24994659260841701"/>
        </patternFill>
      </fill>
    </dxf>
    <dxf>
      <font>
        <color theme="1"/>
      </font>
      <fill>
        <patternFill>
          <bgColor theme="8" tint="0.59996337778862885"/>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6" tint="0.39994506668294322"/>
        </patternFill>
      </fill>
    </dxf>
    <dxf>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ill>
        <patternFill>
          <bgColor rgb="FFFF6600"/>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ill>
        <patternFill>
          <bgColor theme="6" tint="0.39994506668294322"/>
        </patternFill>
      </fill>
    </dxf>
    <dxf>
      <fill>
        <patternFill>
          <b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protection locked="1" hidden="0"/>
    </dxf>
    <dxf>
      <numFmt numFmtId="168" formatCode="0;0;"/>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8" formatCode="0;0;"/>
      <alignment horizontal="center" vertical="center" textRotation="0" wrapText="0" indent="0" justifyLastLine="0" shrinkToFit="0" readingOrder="0"/>
    </dxf>
    <dxf>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font>
        <b val="0"/>
        <i val="0"/>
        <color theme="3"/>
      </font>
      <border>
        <vertical/>
        <horizontal/>
      </border>
    </dxf>
    <dxf>
      <font>
        <color theme="0"/>
      </font>
      <border>
        <vertical/>
        <horizontal/>
      </border>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ill>
        <patternFill>
          <bgColor theme="7" tint="-0.24994659260841701"/>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protection locked="1"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protection locked="0" hidden="0"/>
    </dxf>
    <dxf>
      <numFmt numFmtId="168" formatCode="0;0;"/>
      <alignment horizontal="center" vertical="center" textRotation="0" wrapText="0" indent="0" justifyLastLine="0" shrinkToFit="0" readingOrder="0"/>
    </dxf>
    <dxf>
      <fill>
        <patternFill patternType="none">
          <fgColor indexed="64"/>
          <bgColor indexed="65"/>
        </patternFill>
      </fill>
    </dxf>
    <dxf>
      <alignment horizontal="center" vertical="center" textRotation="0" wrapText="0" indent="0" justifyLastLine="0" shrinkToFit="0" readingOrder="0"/>
    </dxf>
    <dxf>
      <protection locked="1" hidden="0"/>
    </dxf>
    <dxf>
      <protection locked="1" hidden="0"/>
    </dxf>
    <dxf>
      <alignment horizontal="center" vertical="center" textRotation="0" wrapText="0" indent="0" justifyLastLine="0" shrinkToFit="0" readingOrder="0"/>
    </dxf>
    <dxf>
      <fill>
        <patternFill>
          <bgColor rgb="FFFF6600"/>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top style="thick">
          <color theme="5" tint="0.59996337778862885"/>
        </top>
        <bottom style="thick">
          <color theme="5" tint="0.59996337778862885"/>
        </bottom>
        <vertical style="thin">
          <color theme="0"/>
        </vertical>
        <horizontal style="thick">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b/>
        <i val="0"/>
        <color theme="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theme="1"/>
      </font>
      <fill>
        <patternFill patternType="none">
          <bgColor auto="1"/>
        </patternFill>
      </fill>
      <border>
        <left/>
        <right/>
        <top style="thin">
          <color theme="5" tint="0.59996337778862885"/>
        </top>
        <bottom style="thin">
          <color theme="5" tint="0.59996337778862885"/>
        </bottom>
        <vertical/>
        <horizontal style="thin">
          <color theme="5" tint="0.59996337778862885"/>
        </horizontal>
      </border>
    </dxf>
    <dxf>
      <font>
        <color theme="1"/>
      </font>
      <fill>
        <patternFill>
          <bgColor theme="5" tint="0.39994506668294322"/>
        </patternFill>
      </fill>
      <border diagonalUp="0" diagonalDown="0">
        <left style="thin">
          <color theme="0"/>
        </left>
        <right style="thin">
          <color theme="0"/>
        </right>
        <top style="thick">
          <color theme="0"/>
        </top>
        <bottom style="thick">
          <color theme="5"/>
        </bottom>
        <vertical style="thick">
          <color theme="0"/>
        </vertical>
        <horizontal/>
      </border>
    </dxf>
    <dxf>
      <font>
        <color theme="0"/>
      </font>
      <fill>
        <patternFill>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theme="0"/>
      </font>
      <border diagonalUp="0" diagonalDown="0">
        <left/>
        <right/>
        <top/>
        <bottom style="thick">
          <color theme="0"/>
        </bottom>
        <vertical style="thick">
          <color theme="0"/>
        </vertical>
        <horizontal style="thick">
          <color theme="0"/>
        </horizontal>
      </border>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2" defaultPivotStyle="PivotStyleLight16">
    <tableStyle name="Tabela de Faltas dos Funcionários" pivot="0" count="9" xr9:uid="{00000000-0011-0000-FFFF-FFFF00000000}">
      <tableStyleElement type="wholeTable" dxfId="1164"/>
      <tableStyleElement type="headerRow" dxfId="1163"/>
      <tableStyleElement type="totalRow" dxfId="1162"/>
      <tableStyleElement type="firstRowStripe" dxfId="1161"/>
      <tableStyleElement type="secondRowStripe" dxfId="1160"/>
      <tableStyleElement type="firstHeaderCell" dxfId="1159"/>
      <tableStyleElement type="lastHeaderCell" dxfId="1158"/>
      <tableStyleElement type="firstTotalCell" dxfId="1157"/>
      <tableStyleElement type="lastTotalCell" dxfId="1156"/>
    </tableStyle>
    <tableStyle name="Tabela de Faltas dos Funcionários 2" pivot="0" count="13" xr9:uid="{3374F2B5-EC6B-E245-A90B-F84953DFCF99}">
      <tableStyleElement type="wholeTable" dxfId="1155"/>
      <tableStyleElement type="headerRow" dxfId="1154"/>
      <tableStyleElement type="totalRow" dxfId="1153"/>
      <tableStyleElement type="firstColumn" dxfId="1152"/>
      <tableStyleElement type="lastColumn" dxfId="1151"/>
      <tableStyleElement type="firstRowStripe" dxfId="1150"/>
      <tableStyleElement type="secondRowStripe" dxfId="1149"/>
      <tableStyleElement type="firstColumnStripe" dxfId="1148"/>
      <tableStyleElement type="secondColumnStripe" dxfId="1147"/>
      <tableStyleElement type="firstHeaderCell" dxfId="1146"/>
      <tableStyleElement type="lastHeaderCell" dxfId="1145"/>
      <tableStyleElement type="firstTotalCell" dxfId="1144"/>
      <tableStyleElement type="lastTotalCell" dxfId="1143"/>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eiro" displayName="Janeiro" ref="B7:AH18" totalsRowCount="1" headerRowDxfId="1132" dataDxfId="1131" totalsRowDxfId="1130">
  <tableColumns count="33">
    <tableColumn id="1" xr3:uid="{00000000-0010-0000-0000-000001000000}" name="Diretor" totalsRowLabel="Total de afastamentos" dataDxfId="1128" totalsRowDxfId="1129" dataCellStyle="Funcionário"/>
    <tableColumn id="2" xr3:uid="{00000000-0010-0000-0000-000002000000}" name="1" totalsRowFunction="custom" dataDxfId="1126" totalsRowDxfId="1127" dataCellStyle="Total">
      <totalsRowFormula>COUNTA(C8,C10,C12,C14,C16)</totalsRowFormula>
    </tableColumn>
    <tableColumn id="3" xr3:uid="{00000000-0010-0000-0000-000003000000}" name="2" totalsRowFunction="custom" dataDxfId="1124" totalsRowDxfId="1125" dataCellStyle="Total">
      <totalsRowFormula>COUNTA(D8,D10,D12,D14,D16)</totalsRowFormula>
    </tableColumn>
    <tableColumn id="4" xr3:uid="{00000000-0010-0000-0000-000004000000}" name="3" totalsRowFunction="custom" dataDxfId="1122" totalsRowDxfId="1123" dataCellStyle="Total">
      <totalsRowFormula>COUNTA(E8,E10,E12,E14,E16)</totalsRowFormula>
    </tableColumn>
    <tableColumn id="5" xr3:uid="{00000000-0010-0000-0000-000005000000}" name="4" totalsRowFunction="custom" dataDxfId="1120" totalsRowDxfId="1121" dataCellStyle="Total">
      <totalsRowFormula>COUNTA(F8,F10,F12,F14,F16)</totalsRowFormula>
    </tableColumn>
    <tableColumn id="6" xr3:uid="{00000000-0010-0000-0000-000006000000}" name="5" totalsRowFunction="custom" dataDxfId="1118" totalsRowDxfId="1119" dataCellStyle="Total">
      <totalsRowFormula>COUNTA(G8,G10,G12,G14,G16)</totalsRowFormula>
    </tableColumn>
    <tableColumn id="7" xr3:uid="{00000000-0010-0000-0000-000007000000}" name="6" totalsRowFunction="custom" dataDxfId="1116" totalsRowDxfId="1117" dataCellStyle="Total">
      <totalsRowFormula>COUNTA(H8,H10,H12,H14,H16)</totalsRowFormula>
    </tableColumn>
    <tableColumn id="8" xr3:uid="{00000000-0010-0000-0000-000008000000}" name="7" totalsRowFunction="custom" dataDxfId="1114" totalsRowDxfId="1115" dataCellStyle="Total">
      <totalsRowFormula>COUNTA(I8,I10,I12,I14,I16)</totalsRowFormula>
    </tableColumn>
    <tableColumn id="9" xr3:uid="{00000000-0010-0000-0000-000009000000}" name="8" totalsRowFunction="custom" dataDxfId="1112" totalsRowDxfId="1113" dataCellStyle="Total">
      <totalsRowFormula>COUNTA(J8,J10,J12,J14,J16)</totalsRowFormula>
    </tableColumn>
    <tableColumn id="10" xr3:uid="{00000000-0010-0000-0000-00000A000000}" name="9" totalsRowFunction="custom" dataDxfId="1110" totalsRowDxfId="1111" dataCellStyle="Total">
      <totalsRowFormula>COUNTA(K8,K10,K12,K14,K16)</totalsRowFormula>
    </tableColumn>
    <tableColumn id="11" xr3:uid="{00000000-0010-0000-0000-00000B000000}" name="10" totalsRowFunction="custom" dataDxfId="1108" totalsRowDxfId="1109" dataCellStyle="Total">
      <totalsRowFormula>COUNTA(L8,L10,L12,L14,L16)</totalsRowFormula>
    </tableColumn>
    <tableColumn id="12" xr3:uid="{00000000-0010-0000-0000-00000C000000}" name="11" totalsRowFunction="custom" dataDxfId="1106" totalsRowDxfId="1107" dataCellStyle="Total">
      <totalsRowFormula>COUNTA(M8,M10,M12,M14,M16)</totalsRowFormula>
    </tableColumn>
    <tableColumn id="13" xr3:uid="{00000000-0010-0000-0000-00000D000000}" name="12" totalsRowFunction="custom" dataDxfId="1104" totalsRowDxfId="1105" dataCellStyle="Total">
      <totalsRowFormula>COUNTA(N8,N10,N12,N14,N16)</totalsRowFormula>
    </tableColumn>
    <tableColumn id="14" xr3:uid="{00000000-0010-0000-0000-00000E000000}" name="13" totalsRowFunction="custom" dataDxfId="1102" totalsRowDxfId="1103" dataCellStyle="Total">
      <totalsRowFormula>COUNTA(O8,O10,O12,O14,O16)</totalsRowFormula>
    </tableColumn>
    <tableColumn id="15" xr3:uid="{00000000-0010-0000-0000-00000F000000}" name="14" totalsRowFunction="custom" dataDxfId="1100" totalsRowDxfId="1101" dataCellStyle="Total">
      <totalsRowFormula>COUNTA(P8,P10,P12,P14,P16)</totalsRowFormula>
    </tableColumn>
    <tableColumn id="16" xr3:uid="{00000000-0010-0000-0000-000010000000}" name="15" totalsRowFunction="custom" dataDxfId="1098" totalsRowDxfId="1099" dataCellStyle="Total">
      <totalsRowFormula>COUNTA(Q8,Q10,Q12,Q14,Q16)</totalsRowFormula>
    </tableColumn>
    <tableColumn id="17" xr3:uid="{00000000-0010-0000-0000-000011000000}" name="16" totalsRowFunction="custom" dataDxfId="1096" totalsRowDxfId="1097" dataCellStyle="Total">
      <totalsRowFormula>COUNTA(R8,R10,R12,R14,R16)</totalsRowFormula>
    </tableColumn>
    <tableColumn id="18" xr3:uid="{00000000-0010-0000-0000-000012000000}" name="17" totalsRowFunction="custom" dataDxfId="1094" totalsRowDxfId="1095" dataCellStyle="Total">
      <totalsRowFormula>COUNTA(S8,S10,S12,S14,S16)</totalsRowFormula>
    </tableColumn>
    <tableColumn id="19" xr3:uid="{00000000-0010-0000-0000-000013000000}" name="18" totalsRowFunction="custom" dataDxfId="1092" totalsRowDxfId="1093" dataCellStyle="Total">
      <totalsRowFormula>COUNTA(T8,T10,T12,T14,T16)</totalsRowFormula>
    </tableColumn>
    <tableColumn id="20" xr3:uid="{00000000-0010-0000-0000-000014000000}" name="19" totalsRowFunction="custom" dataDxfId="1090" totalsRowDxfId="1091" dataCellStyle="Total">
      <totalsRowFormula>COUNTA(U8,U10,U12,U14,U16)</totalsRowFormula>
    </tableColumn>
    <tableColumn id="21" xr3:uid="{00000000-0010-0000-0000-000015000000}" name="20" totalsRowFunction="custom" dataDxfId="1088" totalsRowDxfId="1089" dataCellStyle="Total">
      <totalsRowFormula>COUNTA(V8,V10,V12,V14,V16)</totalsRowFormula>
    </tableColumn>
    <tableColumn id="22" xr3:uid="{00000000-0010-0000-0000-000016000000}" name="21" totalsRowFunction="custom" dataDxfId="1086" totalsRowDxfId="1087" dataCellStyle="Total">
      <totalsRowFormula>COUNTA(W8,W10,W12,W14,W16)</totalsRowFormula>
    </tableColumn>
    <tableColumn id="23" xr3:uid="{00000000-0010-0000-0000-000017000000}" name="22" totalsRowFunction="custom" dataDxfId="1084" totalsRowDxfId="1085" dataCellStyle="Total">
      <totalsRowFormula>COUNTA(X8,X10,X12,X14,X16)</totalsRowFormula>
    </tableColumn>
    <tableColumn id="24" xr3:uid="{00000000-0010-0000-0000-000018000000}" name="23" totalsRowFunction="custom" dataDxfId="1082" totalsRowDxfId="1083" dataCellStyle="Total">
      <totalsRowFormula>COUNTA(Y8,Y10,Y12,Y14,Y16)</totalsRowFormula>
    </tableColumn>
    <tableColumn id="25" xr3:uid="{00000000-0010-0000-0000-000019000000}" name="24" totalsRowFunction="custom" dataDxfId="1080" totalsRowDxfId="1081" dataCellStyle="Total">
      <totalsRowFormula>COUNTA(Z8,Z10,Z12,Z14,Z16)</totalsRowFormula>
    </tableColumn>
    <tableColumn id="26" xr3:uid="{00000000-0010-0000-0000-00001A000000}" name="25" totalsRowFunction="custom" dataDxfId="1078" totalsRowDxfId="1079" dataCellStyle="Total">
      <totalsRowFormula>COUNTA(AA8,AA10,AA12,AA14,AA16)</totalsRowFormula>
    </tableColumn>
    <tableColumn id="27" xr3:uid="{00000000-0010-0000-0000-00001B000000}" name="26" totalsRowFunction="custom" dataDxfId="1076" totalsRowDxfId="1077" dataCellStyle="Total">
      <totalsRowFormula>COUNTA(AB8,AB10,AB12,AB14,AB16)</totalsRowFormula>
    </tableColumn>
    <tableColumn id="28" xr3:uid="{00000000-0010-0000-0000-00001C000000}" name="27" totalsRowFunction="custom" dataDxfId="1074" totalsRowDxfId="1075" dataCellStyle="Total">
      <totalsRowFormula>COUNTA(AC8,AC10,AC12,AC14,AC16)</totalsRowFormula>
    </tableColumn>
    <tableColumn id="29" xr3:uid="{00000000-0010-0000-0000-00001D000000}" name="28" totalsRowFunction="custom" dataDxfId="1072" totalsRowDxfId="1073" dataCellStyle="Total">
      <totalsRowFormula>COUNTA(AD8,AD10,AD12,AD14,AD16)</totalsRowFormula>
    </tableColumn>
    <tableColumn id="30" xr3:uid="{00000000-0010-0000-0000-00001E000000}" name="29" totalsRowFunction="custom" dataDxfId="1070" totalsRowDxfId="1071" dataCellStyle="Total">
      <totalsRowFormula>COUNTA(AE8,AE10,AE12,AE14,AE16)</totalsRowFormula>
    </tableColumn>
    <tableColumn id="31" xr3:uid="{00000000-0010-0000-0000-00001F000000}" name="30" totalsRowFunction="custom" dataDxfId="1068" totalsRowDxfId="1069" dataCellStyle="Total">
      <totalsRowFormula>COUNTA(AF8,AF10,AF12,AF14,AF16)</totalsRowFormula>
    </tableColumn>
    <tableColumn id="32" xr3:uid="{00000000-0010-0000-0000-000020000000}" name="31" totalsRowFunction="custom" dataDxfId="1066" totalsRowDxfId="1067" dataCellStyle="Total">
      <totalsRowFormula>COUNTA(AG8,AG10,AG12,AG14,AG16)</totalsRowFormula>
    </tableColumn>
    <tableColumn id="33" xr3:uid="{00000000-0010-0000-0000-000021000000}" name="Total de dias" dataDxfId="1064" totalsRowDxfId="1065" dataCellStyle="Total">
      <calculatedColumnFormula>COUNTA(Janeiro!$C8:$AG8)</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utubro" displayName="Outubro" ref="B7:AH18" totalsRowCount="1" headerRowDxfId="250" dataDxfId="249" totalsRowDxfId="248">
  <tableColumns count="33">
    <tableColumn id="1" xr3:uid="{00000000-0010-0000-0900-000001000000}" name="Diretor" totalsRowLabel="Total de afastamentos" dataDxfId="246" totalsRowDxfId="247" dataCellStyle="Funcionário"/>
    <tableColumn id="2" xr3:uid="{00000000-0010-0000-0900-000002000000}" name="1" totalsRowFunction="custom" dataDxfId="244" totalsRowDxfId="245">
      <totalsRowFormula>COUNTA(C8,C10,C12,C14,C16)</totalsRowFormula>
    </tableColumn>
    <tableColumn id="3" xr3:uid="{00000000-0010-0000-0900-000003000000}" name="2" totalsRowFunction="custom" dataDxfId="242" totalsRowDxfId="243">
      <totalsRowFormula>COUNTA(D8,D10,D12,D14,D16)</totalsRowFormula>
    </tableColumn>
    <tableColumn id="4" xr3:uid="{00000000-0010-0000-0900-000004000000}" name="3" totalsRowFunction="custom" dataDxfId="240" totalsRowDxfId="241">
      <totalsRowFormula>COUNTA(E8,E10,E12,E14,E16)</totalsRowFormula>
    </tableColumn>
    <tableColumn id="5" xr3:uid="{00000000-0010-0000-0900-000005000000}" name="4" totalsRowFunction="custom" dataDxfId="238" totalsRowDxfId="239">
      <totalsRowFormula>COUNTA(F8,F10,F12,F14,F16)</totalsRowFormula>
    </tableColumn>
    <tableColumn id="6" xr3:uid="{00000000-0010-0000-0900-000006000000}" name="5" totalsRowFunction="custom" dataDxfId="236" totalsRowDxfId="237">
      <totalsRowFormula>COUNTA(G8,G10,G12,G14,G16)</totalsRowFormula>
    </tableColumn>
    <tableColumn id="7" xr3:uid="{00000000-0010-0000-0900-000007000000}" name="6" totalsRowFunction="custom" dataDxfId="234" totalsRowDxfId="235">
      <totalsRowFormula>COUNTA(H8,H10,H12,H14,H16)</totalsRowFormula>
    </tableColumn>
    <tableColumn id="8" xr3:uid="{00000000-0010-0000-0900-000008000000}" name="7" totalsRowFunction="custom" dataDxfId="232" totalsRowDxfId="233">
      <totalsRowFormula>COUNTA(I8,I10,I12,I14,I16)</totalsRowFormula>
    </tableColumn>
    <tableColumn id="9" xr3:uid="{00000000-0010-0000-0900-000009000000}" name="8" totalsRowFunction="custom" dataDxfId="230" totalsRowDxfId="231">
      <totalsRowFormula>COUNTA(J8,J10,J12,J14,J16)</totalsRowFormula>
    </tableColumn>
    <tableColumn id="10" xr3:uid="{00000000-0010-0000-0900-00000A000000}" name="9" totalsRowFunction="custom" dataDxfId="228" totalsRowDxfId="229">
      <totalsRowFormula>COUNTA(K8,K10,K12,K14,K16)</totalsRowFormula>
    </tableColumn>
    <tableColumn id="11" xr3:uid="{00000000-0010-0000-0900-00000B000000}" name="10" totalsRowFunction="custom" dataDxfId="226" totalsRowDxfId="227">
      <totalsRowFormula>COUNTA(L8,L10,L12,L14,L16)</totalsRowFormula>
    </tableColumn>
    <tableColumn id="12" xr3:uid="{00000000-0010-0000-0900-00000C000000}" name="11" totalsRowFunction="custom" dataDxfId="224" totalsRowDxfId="225">
      <totalsRowFormula>COUNTA(M8,M10,M12,M14,M16)</totalsRowFormula>
    </tableColumn>
    <tableColumn id="13" xr3:uid="{00000000-0010-0000-0900-00000D000000}" name="12" totalsRowFunction="custom" dataDxfId="222" totalsRowDxfId="223">
      <totalsRowFormula>COUNTA(N8,N10,N12,N14,N16)</totalsRowFormula>
    </tableColumn>
    <tableColumn id="14" xr3:uid="{00000000-0010-0000-0900-00000E000000}" name="13" totalsRowFunction="custom" dataDxfId="220" totalsRowDxfId="221">
      <totalsRowFormula>COUNTA(O8,O10,O12,O14,O16)</totalsRowFormula>
    </tableColumn>
    <tableColumn id="15" xr3:uid="{00000000-0010-0000-0900-00000F000000}" name="14" totalsRowFunction="custom" dataDxfId="218" totalsRowDxfId="219">
      <totalsRowFormula>COUNTA(P8,P10,P12,P14,P16)</totalsRowFormula>
    </tableColumn>
    <tableColumn id="16" xr3:uid="{00000000-0010-0000-0900-000010000000}" name="15" totalsRowFunction="custom" dataDxfId="216" totalsRowDxfId="217">
      <totalsRowFormula>COUNTA(Q8,Q10,Q12,Q14,Q16)</totalsRowFormula>
    </tableColumn>
    <tableColumn id="17" xr3:uid="{00000000-0010-0000-0900-000011000000}" name="16" totalsRowFunction="custom" dataDxfId="214" totalsRowDxfId="215">
      <totalsRowFormula>COUNTA(R8,R10,R12,R14,R16)</totalsRowFormula>
    </tableColumn>
    <tableColumn id="18" xr3:uid="{00000000-0010-0000-0900-000012000000}" name="17" totalsRowFunction="custom" dataDxfId="212" totalsRowDxfId="213">
      <totalsRowFormula>COUNTA(S8,S10,S12,S14,S16)</totalsRowFormula>
    </tableColumn>
    <tableColumn id="19" xr3:uid="{00000000-0010-0000-0900-000013000000}" name="18" totalsRowFunction="custom" dataDxfId="210" totalsRowDxfId="211">
      <totalsRowFormula>COUNTA(T8,T10,T12,T14,T16)</totalsRowFormula>
    </tableColumn>
    <tableColumn id="20" xr3:uid="{00000000-0010-0000-0900-000014000000}" name="19" totalsRowFunction="custom" dataDxfId="208" totalsRowDxfId="209">
      <totalsRowFormula>COUNTA(U8,U10,U12,U14,U16)</totalsRowFormula>
    </tableColumn>
    <tableColumn id="21" xr3:uid="{00000000-0010-0000-0900-000015000000}" name="20" totalsRowFunction="custom" dataDxfId="206" totalsRowDxfId="207">
      <totalsRowFormula>COUNTA(V8,V10,V12,V14,V16)</totalsRowFormula>
    </tableColumn>
    <tableColumn id="22" xr3:uid="{00000000-0010-0000-0900-000016000000}" name="21" totalsRowFunction="custom" dataDxfId="204" totalsRowDxfId="205">
      <totalsRowFormula>COUNTA(W8,W10,W12,W14,W16)</totalsRowFormula>
    </tableColumn>
    <tableColumn id="23" xr3:uid="{00000000-0010-0000-0900-000017000000}" name="22" totalsRowFunction="custom" dataDxfId="202" totalsRowDxfId="203">
      <totalsRowFormula>COUNTA(X8,X10,X12,X14,X16)</totalsRowFormula>
    </tableColumn>
    <tableColumn id="24" xr3:uid="{00000000-0010-0000-0900-000018000000}" name="23" totalsRowFunction="custom" dataDxfId="200" totalsRowDxfId="201">
      <totalsRowFormula>COUNTA(Y8,Y10,Y12,Y14,Y16)</totalsRowFormula>
    </tableColumn>
    <tableColumn id="25" xr3:uid="{00000000-0010-0000-0900-000019000000}" name="24" totalsRowFunction="custom" dataDxfId="198" totalsRowDxfId="199">
      <totalsRowFormula>COUNTA(Z8,Z10,Z12,Z14,Z16)</totalsRowFormula>
    </tableColumn>
    <tableColumn id="26" xr3:uid="{00000000-0010-0000-0900-00001A000000}" name="25" totalsRowFunction="custom" dataDxfId="196" totalsRowDxfId="197">
      <totalsRowFormula>COUNTA(AA8,AA10,AA12,AA14,AA16)</totalsRowFormula>
    </tableColumn>
    <tableColumn id="27" xr3:uid="{00000000-0010-0000-0900-00001B000000}" name="26" totalsRowFunction="custom" dataDxfId="194" totalsRowDxfId="195">
      <totalsRowFormula>COUNTA(AB8,AB10,AB12,AB14,AB16)</totalsRowFormula>
    </tableColumn>
    <tableColumn id="28" xr3:uid="{00000000-0010-0000-0900-00001C000000}" name="27" totalsRowFunction="custom" dataDxfId="192" totalsRowDxfId="193">
      <totalsRowFormula>COUNTA(AC8,AC10,AC12,AC14,AC16)</totalsRowFormula>
    </tableColumn>
    <tableColumn id="29" xr3:uid="{00000000-0010-0000-0900-00001D000000}" name="28" totalsRowFunction="custom" dataDxfId="190" totalsRowDxfId="191">
      <totalsRowFormula>COUNTA(AD8,AD10,AD12,AD14,AD16)</totalsRowFormula>
    </tableColumn>
    <tableColumn id="30" xr3:uid="{00000000-0010-0000-0900-00001E000000}" name="29" totalsRowFunction="custom" dataDxfId="188" totalsRowDxfId="189">
      <totalsRowFormula>COUNTA(AE8,AE10,AE12,AE14,AE16)</totalsRowFormula>
    </tableColumn>
    <tableColumn id="31" xr3:uid="{00000000-0010-0000-0900-00001F000000}" name="30" totalsRowFunction="custom" dataDxfId="186" totalsRowDxfId="187">
      <totalsRowFormula>COUNTA(AF8,AF10,AF12,AF14,AF16)</totalsRowFormula>
    </tableColumn>
    <tableColumn id="32" xr3:uid="{00000000-0010-0000-0900-000020000000}" name="31" totalsRowFunction="custom" dataDxfId="184" totalsRowDxfId="185" dataCellStyle="Total">
      <totalsRowFormula>COUNTA(AG8,AG10,AG12,AG14,AG16)</totalsRowFormula>
    </tableColumn>
    <tableColumn id="33" xr3:uid="{00000000-0010-0000-0900-000021000000}" name="Total de dias" dataDxfId="182" totalsRowDxfId="183" dataCellStyle="Total">
      <calculatedColumnFormula>COUNTA(Outubro[[#This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ro" displayName="Novembro" ref="B7:AG18" totalsRowCount="1" headerRowDxfId="156" dataDxfId="155" totalsRowDxfId="154">
  <tableColumns count="32">
    <tableColumn id="1" xr3:uid="{00000000-0010-0000-0A00-000001000000}" name="Diretor" totalsRowLabel="Total de afastamentos" dataDxfId="152" totalsRowDxfId="153" dataCellStyle="Funcionário"/>
    <tableColumn id="2" xr3:uid="{00000000-0010-0000-0A00-000002000000}" name="1" totalsRowFunction="custom" dataDxfId="150" totalsRowDxfId="151">
      <totalsRowFormula>COUNTA(C8,C10,C12,C14,C16)</totalsRowFormula>
    </tableColumn>
    <tableColumn id="3" xr3:uid="{00000000-0010-0000-0A00-000003000000}" name="2" totalsRowFunction="custom" dataDxfId="148" totalsRowDxfId="149">
      <totalsRowFormula>COUNTA(D8,D10,D12,D14,D16)</totalsRowFormula>
    </tableColumn>
    <tableColumn id="4" xr3:uid="{00000000-0010-0000-0A00-000004000000}" name="3" totalsRowFunction="custom" dataDxfId="146" totalsRowDxfId="147">
      <totalsRowFormula>COUNTA(E8,E10,E12,E14,E16)</totalsRowFormula>
    </tableColumn>
    <tableColumn id="5" xr3:uid="{00000000-0010-0000-0A00-000005000000}" name="4" totalsRowFunction="custom" dataDxfId="144" totalsRowDxfId="145">
      <totalsRowFormula>COUNTA(F8,F10,F12,F14,F16)</totalsRowFormula>
    </tableColumn>
    <tableColumn id="6" xr3:uid="{00000000-0010-0000-0A00-000006000000}" name="5" totalsRowFunction="custom" dataDxfId="142" totalsRowDxfId="143">
      <totalsRowFormula>COUNTA(G8,G10,G12,G14,G16)</totalsRowFormula>
    </tableColumn>
    <tableColumn id="7" xr3:uid="{00000000-0010-0000-0A00-000007000000}" name="6" totalsRowFunction="custom" dataDxfId="140" totalsRowDxfId="141">
      <totalsRowFormula>COUNTA(H8,H10,H12,H14,H16)</totalsRowFormula>
    </tableColumn>
    <tableColumn id="8" xr3:uid="{00000000-0010-0000-0A00-000008000000}" name="7" totalsRowFunction="custom" dataDxfId="138" totalsRowDxfId="139">
      <totalsRowFormula>COUNTA(I8,I10,I12,I14,I16)</totalsRowFormula>
    </tableColumn>
    <tableColumn id="9" xr3:uid="{00000000-0010-0000-0A00-000009000000}" name="8" totalsRowFunction="custom" dataDxfId="136" totalsRowDxfId="137">
      <totalsRowFormula>COUNTA(J8,J10,J12,J14,J16)</totalsRowFormula>
    </tableColumn>
    <tableColumn id="10" xr3:uid="{00000000-0010-0000-0A00-00000A000000}" name="9" totalsRowFunction="custom" dataDxfId="134" totalsRowDxfId="135">
      <totalsRowFormula>COUNTA(K8,K10,K12,K14,K16)</totalsRowFormula>
    </tableColumn>
    <tableColumn id="11" xr3:uid="{00000000-0010-0000-0A00-00000B000000}" name="10" totalsRowFunction="custom" dataDxfId="132" totalsRowDxfId="133">
      <totalsRowFormula>COUNTA(L8,L10,L12,L14,L16)</totalsRowFormula>
    </tableColumn>
    <tableColumn id="12" xr3:uid="{00000000-0010-0000-0A00-00000C000000}" name="11" totalsRowFunction="custom" dataDxfId="130" totalsRowDxfId="131">
      <totalsRowFormula>COUNTA(M8,M10,M12,M14,M16)</totalsRowFormula>
    </tableColumn>
    <tableColumn id="13" xr3:uid="{00000000-0010-0000-0A00-00000D000000}" name="12" totalsRowFunction="custom" dataDxfId="128" totalsRowDxfId="129">
      <totalsRowFormula>COUNTA(N8,N10,N12,N14,N16)</totalsRowFormula>
    </tableColumn>
    <tableColumn id="14" xr3:uid="{00000000-0010-0000-0A00-00000E000000}" name="13" totalsRowFunction="custom" dataDxfId="126" totalsRowDxfId="127">
      <totalsRowFormula>COUNTA(O8,O10,O12,O14,O16)</totalsRowFormula>
    </tableColumn>
    <tableColumn id="15" xr3:uid="{00000000-0010-0000-0A00-00000F000000}" name="14" totalsRowFunction="custom" dataDxfId="124" totalsRowDxfId="125">
      <totalsRowFormula>COUNTA(P8,P10,P12,P14,P16)</totalsRowFormula>
    </tableColumn>
    <tableColumn id="16" xr3:uid="{00000000-0010-0000-0A00-000010000000}" name="15" totalsRowFunction="custom" dataDxfId="122" totalsRowDxfId="123">
      <totalsRowFormula>COUNTA(Q8,Q10,Q12,Q14,Q16)</totalsRowFormula>
    </tableColumn>
    <tableColumn id="17" xr3:uid="{00000000-0010-0000-0A00-000011000000}" name="16" totalsRowFunction="custom" dataDxfId="120" totalsRowDxfId="121">
      <totalsRowFormula>COUNTA(R8,R10,R12,R14,R16)</totalsRowFormula>
    </tableColumn>
    <tableColumn id="18" xr3:uid="{00000000-0010-0000-0A00-000012000000}" name="17" totalsRowFunction="custom" dataDxfId="118" totalsRowDxfId="119">
      <totalsRowFormula>COUNTA(S8,S10,S12,S14,S16)</totalsRowFormula>
    </tableColumn>
    <tableColumn id="19" xr3:uid="{00000000-0010-0000-0A00-000013000000}" name="18" totalsRowFunction="custom" dataDxfId="116" totalsRowDxfId="117">
      <totalsRowFormula>COUNTA(T8,T10,T12,T14,T16)</totalsRowFormula>
    </tableColumn>
    <tableColumn id="20" xr3:uid="{00000000-0010-0000-0A00-000014000000}" name="19" totalsRowFunction="custom" dataDxfId="114" totalsRowDxfId="115">
      <totalsRowFormula>COUNTA(U8,U10,U12,U14,U16)</totalsRowFormula>
    </tableColumn>
    <tableColumn id="21" xr3:uid="{00000000-0010-0000-0A00-000015000000}" name="20" totalsRowFunction="custom" dataDxfId="112" totalsRowDxfId="113">
      <totalsRowFormula>COUNTA(V8,V10,V12,V14,V16)</totalsRowFormula>
    </tableColumn>
    <tableColumn id="22" xr3:uid="{00000000-0010-0000-0A00-000016000000}" name="21" totalsRowFunction="custom" dataDxfId="110" totalsRowDxfId="111">
      <totalsRowFormula>COUNTA(W8,W10,W12,W14,W16)</totalsRowFormula>
    </tableColumn>
    <tableColumn id="23" xr3:uid="{00000000-0010-0000-0A00-000017000000}" name="22" totalsRowFunction="custom" dataDxfId="108" totalsRowDxfId="109">
      <totalsRowFormula>COUNTA(X8,X10,X12,X14,X16)</totalsRowFormula>
    </tableColumn>
    <tableColumn id="24" xr3:uid="{00000000-0010-0000-0A00-000018000000}" name="23" totalsRowFunction="custom" dataDxfId="106" totalsRowDxfId="107">
      <totalsRowFormula>COUNTA(Y8,Y10,Y12,Y14,Y16)</totalsRowFormula>
    </tableColumn>
    <tableColumn id="25" xr3:uid="{00000000-0010-0000-0A00-000019000000}" name="24" totalsRowFunction="custom" dataDxfId="104" totalsRowDxfId="105">
      <totalsRowFormula>COUNTA(Z8,Z10,Z12,Z14,Z16)</totalsRowFormula>
    </tableColumn>
    <tableColumn id="26" xr3:uid="{00000000-0010-0000-0A00-00001A000000}" name="25" totalsRowFunction="custom" dataDxfId="102" totalsRowDxfId="103">
      <totalsRowFormula>COUNTA(AA8,AA10,AA12,AA14,AA16)</totalsRowFormula>
    </tableColumn>
    <tableColumn id="27" xr3:uid="{00000000-0010-0000-0A00-00001B000000}" name="26" totalsRowFunction="custom" dataDxfId="100" totalsRowDxfId="101">
      <totalsRowFormula>COUNTA(AB8,AB10,AB12,AB14,AB16)</totalsRowFormula>
    </tableColumn>
    <tableColumn id="28" xr3:uid="{00000000-0010-0000-0A00-00001C000000}" name="27" totalsRowFunction="custom" dataDxfId="98" totalsRowDxfId="99">
      <totalsRowFormula>COUNTA(AC8,AC10,AC12,AC14,AC16)</totalsRowFormula>
    </tableColumn>
    <tableColumn id="29" xr3:uid="{00000000-0010-0000-0A00-00001D000000}" name="28" totalsRowFunction="custom" dataDxfId="96" totalsRowDxfId="97">
      <totalsRowFormula>COUNTA(AD8,AD10,AD12,AD14,AD16)</totalsRowFormula>
    </tableColumn>
    <tableColumn id="30" xr3:uid="{00000000-0010-0000-0A00-00001E000000}" name="29" totalsRowFunction="custom" dataDxfId="94" totalsRowDxfId="95">
      <totalsRowFormula>COUNTA(AE8,AE10,AE12,AE14,AE16)</totalsRowFormula>
    </tableColumn>
    <tableColumn id="31" xr3:uid="{00000000-0010-0000-0A00-00001F000000}" name="30" totalsRowFunction="custom" dataDxfId="92" totalsRowDxfId="93">
      <totalsRowFormula>COUNTA(AF8,AF10,AF12,AF14,AF16)</totalsRowFormula>
    </tableColumn>
    <tableColumn id="33" xr3:uid="{00000000-0010-0000-0A00-000021000000}" name="Total de dias" dataDxfId="90" totalsRowDxfId="91"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zembro" displayName="Dezembro" ref="B7:AH18" totalsRowCount="1" headerRowDxfId="73" dataDxfId="72" totalsRowDxfId="71">
  <tableColumns count="33">
    <tableColumn id="1" xr3:uid="{00000000-0010-0000-0B00-000001000000}" name="Diretor" totalsRowLabel="Total de afastamentos" dataDxfId="69" totalsRowDxfId="70" dataCellStyle="Funcionário"/>
    <tableColumn id="2" xr3:uid="{00000000-0010-0000-0B00-000002000000}" name="1" totalsRowFunction="custom" dataDxfId="67" totalsRowDxfId="68">
      <totalsRowFormula>COUNTA(C8,C10,C12,C14,C16)</totalsRowFormula>
    </tableColumn>
    <tableColumn id="3" xr3:uid="{00000000-0010-0000-0B00-000003000000}" name="2" totalsRowFunction="custom" dataDxfId="65" totalsRowDxfId="66">
      <totalsRowFormula>COUNTA(D8,D10,D12,D14,D16)</totalsRowFormula>
    </tableColumn>
    <tableColumn id="4" xr3:uid="{00000000-0010-0000-0B00-000004000000}" name="3" totalsRowFunction="custom" dataDxfId="63" totalsRowDxfId="64">
      <totalsRowFormula>COUNTA(E8,E10,E12,E14,E16)</totalsRowFormula>
    </tableColumn>
    <tableColumn id="5" xr3:uid="{00000000-0010-0000-0B00-000005000000}" name="4" totalsRowFunction="custom" dataDxfId="61" totalsRowDxfId="62">
      <totalsRowFormula>COUNTA(F8,F10,F12,F14,F16)</totalsRowFormula>
    </tableColumn>
    <tableColumn id="6" xr3:uid="{00000000-0010-0000-0B00-000006000000}" name="5" totalsRowFunction="custom" dataDxfId="59" totalsRowDxfId="60">
      <totalsRowFormula>COUNTA(G8,G10,G12,G14,G16)</totalsRowFormula>
    </tableColumn>
    <tableColumn id="7" xr3:uid="{00000000-0010-0000-0B00-000007000000}" name="6" totalsRowFunction="custom" dataDxfId="57" totalsRowDxfId="58">
      <totalsRowFormula>COUNTA(H8,H10,H12,H14,H16)</totalsRowFormula>
    </tableColumn>
    <tableColumn id="8" xr3:uid="{00000000-0010-0000-0B00-000008000000}" name="7" totalsRowFunction="custom" dataDxfId="55" totalsRowDxfId="56">
      <totalsRowFormula>COUNTA(I8,I10,I12,I14,I16)</totalsRowFormula>
    </tableColumn>
    <tableColumn id="9" xr3:uid="{00000000-0010-0000-0B00-000009000000}" name="8" totalsRowFunction="custom" dataDxfId="53" totalsRowDxfId="54">
      <totalsRowFormula>COUNTA(J8,J10,J12,J14,J16)</totalsRowFormula>
    </tableColumn>
    <tableColumn id="10" xr3:uid="{00000000-0010-0000-0B00-00000A000000}" name="9" totalsRowFunction="custom" dataDxfId="51" totalsRowDxfId="52">
      <totalsRowFormula>COUNTA(K8,K10,K12,K14,K16)</totalsRowFormula>
    </tableColumn>
    <tableColumn id="11" xr3:uid="{00000000-0010-0000-0B00-00000B000000}" name="10" totalsRowFunction="custom" dataDxfId="49" totalsRowDxfId="50">
      <totalsRowFormula>COUNTA(L8,L10,L12,L14,L16)</totalsRowFormula>
    </tableColumn>
    <tableColumn id="12" xr3:uid="{00000000-0010-0000-0B00-00000C000000}" name="11" totalsRowFunction="custom" dataDxfId="47" totalsRowDxfId="48">
      <totalsRowFormula>COUNTA(M8,M10,M12,M14,M16)</totalsRowFormula>
    </tableColumn>
    <tableColumn id="13" xr3:uid="{00000000-0010-0000-0B00-00000D000000}" name="12" totalsRowFunction="custom" dataDxfId="45" totalsRowDxfId="46">
      <totalsRowFormula>COUNTA(N8,N10,N12,N14,N16)</totalsRowFormula>
    </tableColumn>
    <tableColumn id="14" xr3:uid="{00000000-0010-0000-0B00-00000E000000}" name="13" totalsRowFunction="custom" dataDxfId="43" totalsRowDxfId="44">
      <totalsRowFormula>COUNTA(O8,O10,O12,O14,O16)</totalsRowFormula>
    </tableColumn>
    <tableColumn id="15" xr3:uid="{00000000-0010-0000-0B00-00000F000000}" name="14" totalsRowFunction="custom" dataDxfId="41" totalsRowDxfId="42">
      <totalsRowFormula>COUNTA(P8,P10,P12,P14,P16)</totalsRowFormula>
    </tableColumn>
    <tableColumn id="16" xr3:uid="{00000000-0010-0000-0B00-000010000000}" name="15" totalsRowFunction="custom" dataDxfId="39" totalsRowDxfId="40">
      <totalsRowFormula>COUNTA(Q8,Q10,Q12,Q14,Q16)</totalsRowFormula>
    </tableColumn>
    <tableColumn id="17" xr3:uid="{00000000-0010-0000-0B00-000011000000}" name="16" totalsRowFunction="custom" dataDxfId="37" totalsRowDxfId="38">
      <totalsRowFormula>COUNTA(R8,R10,R12,R14,R16)</totalsRowFormula>
    </tableColumn>
    <tableColumn id="18" xr3:uid="{00000000-0010-0000-0B00-000012000000}" name="17" totalsRowFunction="custom" dataDxfId="35" totalsRowDxfId="36">
      <totalsRowFormula>COUNTA(S8,S10,S12,S14,S16)</totalsRowFormula>
    </tableColumn>
    <tableColumn id="19" xr3:uid="{00000000-0010-0000-0B00-000013000000}" name="18" totalsRowFunction="custom" dataDxfId="33" totalsRowDxfId="34">
      <totalsRowFormula>COUNTA(T8,T10,T12,T14,T16)</totalsRowFormula>
    </tableColumn>
    <tableColumn id="20" xr3:uid="{00000000-0010-0000-0B00-000014000000}" name="19" totalsRowFunction="custom" dataDxfId="31" totalsRowDxfId="32">
      <totalsRowFormula>COUNTA(U8,U10,U12,U14,U16)</totalsRowFormula>
    </tableColumn>
    <tableColumn id="21" xr3:uid="{00000000-0010-0000-0B00-000015000000}" name="20" totalsRowFunction="custom" dataDxfId="29" totalsRowDxfId="30">
      <totalsRowFormula>COUNTA(V8,V10,V12,V14,V16)</totalsRowFormula>
    </tableColumn>
    <tableColumn id="22" xr3:uid="{00000000-0010-0000-0B00-000016000000}" name="21" totalsRowFunction="custom" dataDxfId="27" totalsRowDxfId="28">
      <totalsRowFormula>COUNTA(W8,W10,W12,W14,W16)</totalsRowFormula>
    </tableColumn>
    <tableColumn id="23" xr3:uid="{00000000-0010-0000-0B00-000017000000}" name="22" totalsRowFunction="custom" dataDxfId="25" totalsRowDxfId="26">
      <totalsRowFormula>COUNTA(X8,X10,X12,X14,X16)</totalsRowFormula>
    </tableColumn>
    <tableColumn id="24" xr3:uid="{00000000-0010-0000-0B00-000018000000}" name="23" totalsRowFunction="custom" dataDxfId="23" totalsRowDxfId="24">
      <totalsRowFormula>COUNTA(Y8,Y10,Y12,Y14,Y16)</totalsRowFormula>
    </tableColumn>
    <tableColumn id="25" xr3:uid="{00000000-0010-0000-0B00-000019000000}" name="24" totalsRowFunction="custom" dataDxfId="21" totalsRowDxfId="22">
      <totalsRowFormula>COUNTA(Z8,Z10,Z12,Z14,Z16)</totalsRowFormula>
    </tableColumn>
    <tableColumn id="26" xr3:uid="{00000000-0010-0000-0B00-00001A000000}" name="25" totalsRowFunction="custom" dataDxfId="19" totalsRowDxfId="20">
      <totalsRowFormula>COUNTA(AA8,AA10,AA12,AA14,AA16)</totalsRowFormula>
    </tableColumn>
    <tableColumn id="27" xr3:uid="{00000000-0010-0000-0B00-00001B000000}" name="26" totalsRowFunction="custom" dataDxfId="17" totalsRowDxfId="18">
      <totalsRowFormula>COUNTA(AB8,AB10,AB12,AB14,AB16)</totalsRowFormula>
    </tableColumn>
    <tableColumn id="28" xr3:uid="{00000000-0010-0000-0B00-00001C000000}" name="27" totalsRowFunction="custom" dataDxfId="15" totalsRowDxfId="16">
      <totalsRowFormula>COUNTA(AC8,AC10,AC12,AC14,AC16)</totalsRowFormula>
    </tableColumn>
    <tableColumn id="29" xr3:uid="{00000000-0010-0000-0B00-00001D000000}" name="28" totalsRowFunction="custom" dataDxfId="13" totalsRowDxfId="14">
      <totalsRowFormula>COUNTA(AD8,AD10,AD12,AD14,AD16)</totalsRowFormula>
    </tableColumn>
    <tableColumn id="30" xr3:uid="{00000000-0010-0000-0B00-00001E000000}" name="29" totalsRowFunction="custom" dataDxfId="11" totalsRowDxfId="12">
      <totalsRowFormula>COUNTA(AE8,AE10,AE12,AE14,AE16)</totalsRowFormula>
    </tableColumn>
    <tableColumn id="31" xr3:uid="{00000000-0010-0000-0B00-00001F000000}" name="30" totalsRowFunction="custom" dataDxfId="9" totalsRowDxfId="10">
      <totalsRowFormula>COUNTA(AF8,AF10,AF12,AF14,AF16)</totalsRowFormula>
    </tableColumn>
    <tableColumn id="32" xr3:uid="{00000000-0010-0000-0B00-000020000000}" name="31" totalsRowFunction="custom" dataDxfId="7" totalsRowDxfId="8" dataCellStyle="Total">
      <totalsRowFormula>COUNTA(AG8,AG10,AG12,AG14,AG16)</totalsRowFormula>
    </tableColumn>
    <tableColumn id="33" xr3:uid="{00000000-0010-0000-0B00-000021000000}" name="Total de dias" dataDxfId="5" totalsRowDxfId="6" dataCellStyle="Total">
      <calculatedColumnFormula>COUNTA(Dezembro[[#This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ce uma lista de nomes e datas do calendário para registrar as faltas dos funcionários e o tipo de falta específico, como F=Férias, L=Licença, P=Pessoal e dois espaços reservados para entradas personalizada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NomeDoFuncionário" displayName="NomeDoFuncionário" ref="B2:B7" totalsRowShown="0" headerRowDxfId="4" headerRowBorderDxfId="2" tableBorderDxfId="3" totalsRowBorderDxfId="1">
  <autoFilter ref="B2:B7" xr:uid="{00000000-0009-0000-0100-00000D000000}"/>
  <tableColumns count="1">
    <tableColumn id="1" xr3:uid="{00000000-0010-0000-0C00-000001000000}" name="Diretor" dataDxfId="0" dataCellStyle="Funcionário"/>
  </tableColumns>
  <tableStyleInfo name="Tabela de Faltas dos Funcionários" showFirstColumn="1" showLastColumn="1" showRowStripes="1" showColumnStripes="0"/>
  <extLst>
    <ext xmlns:x14="http://schemas.microsoft.com/office/spreadsheetml/2009/9/main" uri="{504A1905-F514-4f6f-8877-14C23A59335A}">
      <x14:table altTextSummary="Insira os nomes dos funcionários nesta tabela. Estes nomes são usados como opções na coluna B de agenda de faltas de cada mê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evereiro" displayName="Fevereiro" ref="B7:AF18" totalsRowCount="1" headerRowDxfId="1044" dataDxfId="1043" totalsRowDxfId="1042">
  <tableColumns count="31">
    <tableColumn id="1" xr3:uid="{00000000-0010-0000-0100-000001000000}" name="Diretor" totalsRowLabel="Total de afastamentos" dataDxfId="1040" totalsRowDxfId="1041" dataCellStyle="Funcionário"/>
    <tableColumn id="2" xr3:uid="{00000000-0010-0000-0100-000002000000}" name="1" totalsRowFunction="custom" dataDxfId="1038" totalsRowDxfId="1039" dataCellStyle="Total">
      <totalsRowFormula>COUNTA(C8,C10,C12,C14,C16)</totalsRowFormula>
    </tableColumn>
    <tableColumn id="3" xr3:uid="{00000000-0010-0000-0100-000003000000}" name="2" totalsRowFunction="custom" dataDxfId="1036" totalsRowDxfId="1037" dataCellStyle="Total">
      <totalsRowFormula>COUNTA(D8,D10,D12,D14,D16)</totalsRowFormula>
    </tableColumn>
    <tableColumn id="4" xr3:uid="{00000000-0010-0000-0100-000004000000}" name="3" totalsRowFunction="custom" dataDxfId="1034" totalsRowDxfId="1035" dataCellStyle="Total">
      <totalsRowFormula>COUNTA(E8,E10,E12,E14,E16)</totalsRowFormula>
    </tableColumn>
    <tableColumn id="5" xr3:uid="{00000000-0010-0000-0100-000005000000}" name="4" totalsRowFunction="custom" dataDxfId="1032" totalsRowDxfId="1033" dataCellStyle="Total">
      <totalsRowFormula>COUNTA(F8,F10,F12,F14,F16)</totalsRowFormula>
    </tableColumn>
    <tableColumn id="6" xr3:uid="{00000000-0010-0000-0100-000006000000}" name="5" totalsRowFunction="custom" dataDxfId="1030" totalsRowDxfId="1031" dataCellStyle="Total">
      <totalsRowFormula>COUNTA(G8,G10,G12,G14,G16)</totalsRowFormula>
    </tableColumn>
    <tableColumn id="7" xr3:uid="{00000000-0010-0000-0100-000007000000}" name="6" totalsRowFunction="custom" dataDxfId="1028" totalsRowDxfId="1029" dataCellStyle="Total">
      <totalsRowFormula>COUNTA(H8,H10,H12,H14,H16)</totalsRowFormula>
    </tableColumn>
    <tableColumn id="8" xr3:uid="{00000000-0010-0000-0100-000008000000}" name="7" totalsRowFunction="custom" dataDxfId="1026" totalsRowDxfId="1027" dataCellStyle="Total">
      <totalsRowFormula>COUNTA(I8,I10,I12,I14,I16)</totalsRowFormula>
    </tableColumn>
    <tableColumn id="9" xr3:uid="{00000000-0010-0000-0100-000009000000}" name="8" totalsRowFunction="custom" dataDxfId="1024" totalsRowDxfId="1025" dataCellStyle="Total">
      <totalsRowFormula>COUNTA(J8,J10,J12,J14,J16)</totalsRowFormula>
    </tableColumn>
    <tableColumn id="10" xr3:uid="{00000000-0010-0000-0100-00000A000000}" name="9" totalsRowFunction="custom" dataDxfId="1022" totalsRowDxfId="1023" dataCellStyle="Total">
      <totalsRowFormula>COUNTA(K8,K10,K12,K14,K16)</totalsRowFormula>
    </tableColumn>
    <tableColumn id="11" xr3:uid="{00000000-0010-0000-0100-00000B000000}" name="10" totalsRowFunction="custom" dataDxfId="1020" totalsRowDxfId="1021" dataCellStyle="Total">
      <totalsRowFormula>COUNTA(L8,L10,L12,L14,L16)</totalsRowFormula>
    </tableColumn>
    <tableColumn id="12" xr3:uid="{00000000-0010-0000-0100-00000C000000}" name="11" totalsRowFunction="custom" dataDxfId="1018" totalsRowDxfId="1019" dataCellStyle="Total">
      <totalsRowFormula>COUNTA(M8,M10,M12,M14,M16)</totalsRowFormula>
    </tableColumn>
    <tableColumn id="13" xr3:uid="{00000000-0010-0000-0100-00000D000000}" name="12" totalsRowFunction="custom" dataDxfId="1016" totalsRowDxfId="1017" dataCellStyle="Total">
      <totalsRowFormula>COUNTA(N8,N10,N12,N14,N16)</totalsRowFormula>
    </tableColumn>
    <tableColumn id="14" xr3:uid="{00000000-0010-0000-0100-00000E000000}" name="13" totalsRowFunction="custom" dataDxfId="1014" totalsRowDxfId="1015" dataCellStyle="Total">
      <totalsRowFormula>COUNTA(O8,O10,O12,O14,O16)</totalsRowFormula>
    </tableColumn>
    <tableColumn id="15" xr3:uid="{00000000-0010-0000-0100-00000F000000}" name="14" totalsRowFunction="custom" dataDxfId="1012" totalsRowDxfId="1013" dataCellStyle="Total">
      <totalsRowFormula>COUNTA(P8,P10,P12,P14,P16)</totalsRowFormula>
    </tableColumn>
    <tableColumn id="16" xr3:uid="{00000000-0010-0000-0100-000010000000}" name="15" totalsRowFunction="custom" dataDxfId="1010" totalsRowDxfId="1011" dataCellStyle="Total">
      <totalsRowFormula>COUNTA(Q8,Q10,Q12,Q14,Q16)</totalsRowFormula>
    </tableColumn>
    <tableColumn id="17" xr3:uid="{00000000-0010-0000-0100-000011000000}" name="16" totalsRowFunction="custom" dataDxfId="1008" totalsRowDxfId="1009" dataCellStyle="Total">
      <totalsRowFormula>COUNTA(R8,R10,R12,R14,R16)</totalsRowFormula>
    </tableColumn>
    <tableColumn id="18" xr3:uid="{00000000-0010-0000-0100-000012000000}" name="17" totalsRowFunction="custom" dataDxfId="1006" totalsRowDxfId="1007" dataCellStyle="Total">
      <totalsRowFormula>COUNTA(S8,S10,S12,S14,S16)</totalsRowFormula>
    </tableColumn>
    <tableColumn id="19" xr3:uid="{00000000-0010-0000-0100-000013000000}" name="18" totalsRowFunction="custom" dataDxfId="1004" totalsRowDxfId="1005" dataCellStyle="Total">
      <totalsRowFormula>COUNTA(T8,T10,T12,T14,T16)</totalsRowFormula>
    </tableColumn>
    <tableColumn id="20" xr3:uid="{00000000-0010-0000-0100-000014000000}" name="19" totalsRowFunction="custom" dataDxfId="1002" totalsRowDxfId="1003" dataCellStyle="Total">
      <totalsRowFormula>COUNTA(U8,U10,U12,U14,U16)</totalsRowFormula>
    </tableColumn>
    <tableColumn id="21" xr3:uid="{00000000-0010-0000-0100-000015000000}" name="20" totalsRowFunction="custom" dataDxfId="1000" totalsRowDxfId="1001" dataCellStyle="Total">
      <totalsRowFormula>COUNTA(V8,V10,V12,V14,V16)</totalsRowFormula>
    </tableColumn>
    <tableColumn id="22" xr3:uid="{00000000-0010-0000-0100-000016000000}" name="21" totalsRowFunction="custom" dataDxfId="998" totalsRowDxfId="999" dataCellStyle="Total">
      <totalsRowFormula>COUNTA(W8,W10,W12,W14,W16)</totalsRowFormula>
    </tableColumn>
    <tableColumn id="23" xr3:uid="{00000000-0010-0000-0100-000017000000}" name="22" totalsRowFunction="custom" dataDxfId="996" totalsRowDxfId="997" dataCellStyle="Total">
      <totalsRowFormula>COUNTA(X8,X10,X12,X14,X16)</totalsRowFormula>
    </tableColumn>
    <tableColumn id="24" xr3:uid="{00000000-0010-0000-0100-000018000000}" name="23" totalsRowFunction="custom" dataDxfId="994" totalsRowDxfId="995" dataCellStyle="Total">
      <totalsRowFormula>COUNTA(Y8,Y10,Y12,Y14,Y16)</totalsRowFormula>
    </tableColumn>
    <tableColumn id="25" xr3:uid="{00000000-0010-0000-0100-000019000000}" name="24" totalsRowFunction="custom" dataDxfId="992" totalsRowDxfId="993" dataCellStyle="Total">
      <totalsRowFormula>COUNTA(Z8,Z10,Z12,Z14,Z16)</totalsRowFormula>
    </tableColumn>
    <tableColumn id="26" xr3:uid="{00000000-0010-0000-0100-00001A000000}" name="25" totalsRowFunction="custom" dataDxfId="990" totalsRowDxfId="991" dataCellStyle="Total">
      <totalsRowFormula>COUNTA(AA8,AA10,AA12,AA14,AA16)</totalsRowFormula>
    </tableColumn>
    <tableColumn id="27" xr3:uid="{00000000-0010-0000-0100-00001B000000}" name="26" totalsRowFunction="custom" dataDxfId="988" totalsRowDxfId="989" dataCellStyle="Total">
      <totalsRowFormula>COUNTA(AB8,AB10,AB12,AB14,AB16)</totalsRowFormula>
    </tableColumn>
    <tableColumn id="28" xr3:uid="{00000000-0010-0000-0100-00001C000000}" name="27" totalsRowFunction="custom" dataDxfId="986" totalsRowDxfId="987" dataCellStyle="Total">
      <totalsRowFormula>COUNTA(AC8,AC10,AC12,AC14,AC16)</totalsRowFormula>
    </tableColumn>
    <tableColumn id="29" xr3:uid="{00000000-0010-0000-0100-00001D000000}" name="28" totalsRowFunction="custom" dataDxfId="984" totalsRowDxfId="985" dataCellStyle="Total">
      <totalsRowFormula>COUNTA(AD8,AD10,AD12,AD14,AD16)</totalsRowFormula>
    </tableColumn>
    <tableColumn id="30" xr3:uid="{00000000-0010-0000-0100-00001E000000}" name="29" totalsRowFunction="custom" dataDxfId="982" totalsRowDxfId="983" dataCellStyle="Total">
      <totalsRowFormula>COUNTA(AE8,AE10,AE12,AE14,AE16)</totalsRowFormula>
    </tableColumn>
    <tableColumn id="33" xr3:uid="{00000000-0010-0000-0100-000021000000}" name="Total de dias" dataDxfId="980" totalsRowDxfId="981" dataCellStyle="Total">
      <calculatedColumnFormula>COUNTA(Fevereiro[[#This Row],[1]:[29]])</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ço" displayName="Março" ref="B7:AH18" totalsRowCount="1" headerRowDxfId="945" dataDxfId="944" totalsRowDxfId="943">
  <tableColumns count="33">
    <tableColumn id="1" xr3:uid="{00000000-0010-0000-0200-000001000000}" name="Diretor" totalsRowLabel="Total de afastamentos" dataDxfId="941" totalsRowDxfId="942" dataCellStyle="Funcionário"/>
    <tableColumn id="2" xr3:uid="{00000000-0010-0000-0200-000002000000}" name="1" totalsRowFunction="custom" dataDxfId="939" totalsRowDxfId="940">
      <totalsRowFormula>COUNTA(C8,C10,C12,C14,C16)</totalsRowFormula>
    </tableColumn>
    <tableColumn id="3" xr3:uid="{00000000-0010-0000-0200-000003000000}" name="2" totalsRowFunction="custom" dataDxfId="937" totalsRowDxfId="938">
      <totalsRowFormula>COUNTA(D8,D10,D12,D14,D16)</totalsRowFormula>
    </tableColumn>
    <tableColumn id="4" xr3:uid="{00000000-0010-0000-0200-000004000000}" name="3" totalsRowFunction="custom" dataDxfId="935" totalsRowDxfId="936">
      <totalsRowFormula>COUNTA(E8,E10,E12,E14,E16)</totalsRowFormula>
    </tableColumn>
    <tableColumn id="5" xr3:uid="{00000000-0010-0000-0200-000005000000}" name="4" totalsRowFunction="custom" dataDxfId="933" totalsRowDxfId="934">
      <totalsRowFormula>COUNTA(F8,F10,F12,F14,F16)</totalsRowFormula>
    </tableColumn>
    <tableColumn id="6" xr3:uid="{00000000-0010-0000-0200-000006000000}" name="5" totalsRowFunction="custom" dataDxfId="931" totalsRowDxfId="932">
      <totalsRowFormula>COUNTA(G8,G10,G12,G14,G16)</totalsRowFormula>
    </tableColumn>
    <tableColumn id="7" xr3:uid="{00000000-0010-0000-0200-000007000000}" name="6" totalsRowFunction="custom" dataDxfId="929" totalsRowDxfId="930">
      <totalsRowFormula>COUNTA(H8,H10,H12,H14,H16)</totalsRowFormula>
    </tableColumn>
    <tableColumn id="8" xr3:uid="{00000000-0010-0000-0200-000008000000}" name="7" totalsRowFunction="custom" dataDxfId="927" totalsRowDxfId="928">
      <totalsRowFormula>COUNTA(I8,I10,I12,I14,I16)</totalsRowFormula>
    </tableColumn>
    <tableColumn id="9" xr3:uid="{00000000-0010-0000-0200-000009000000}" name="8" totalsRowFunction="custom" dataDxfId="925" totalsRowDxfId="926">
      <totalsRowFormula>COUNTA(J8,J10,J12,J14,J16)</totalsRowFormula>
    </tableColumn>
    <tableColumn id="10" xr3:uid="{00000000-0010-0000-0200-00000A000000}" name="9" totalsRowFunction="custom" dataDxfId="923" totalsRowDxfId="924">
      <totalsRowFormula>COUNTA(K8,K10,K12,K14,K16)</totalsRowFormula>
    </tableColumn>
    <tableColumn id="11" xr3:uid="{00000000-0010-0000-0200-00000B000000}" name="10" totalsRowFunction="custom" dataDxfId="921" totalsRowDxfId="922">
      <totalsRowFormula>COUNTA(L8,L10,L12,L14,L16)</totalsRowFormula>
    </tableColumn>
    <tableColumn id="12" xr3:uid="{00000000-0010-0000-0200-00000C000000}" name="11" totalsRowFunction="custom" dataDxfId="919" totalsRowDxfId="920">
      <totalsRowFormula>COUNTA(M8,M10,M12,M14,M16)</totalsRowFormula>
    </tableColumn>
    <tableColumn id="13" xr3:uid="{00000000-0010-0000-0200-00000D000000}" name="12" totalsRowFunction="custom" dataDxfId="917" totalsRowDxfId="918">
      <totalsRowFormula>COUNTA(N8,N10,N12,N14,N16)</totalsRowFormula>
    </tableColumn>
    <tableColumn id="14" xr3:uid="{00000000-0010-0000-0200-00000E000000}" name="13" totalsRowFunction="custom" dataDxfId="915" totalsRowDxfId="916">
      <totalsRowFormula>COUNTA(O8,O10,O12,O14,O16)</totalsRowFormula>
    </tableColumn>
    <tableColumn id="15" xr3:uid="{00000000-0010-0000-0200-00000F000000}" name="14" totalsRowFunction="custom" dataDxfId="913" totalsRowDxfId="914">
      <totalsRowFormula>COUNTA(P8,P10,P12,P14,P16)</totalsRowFormula>
    </tableColumn>
    <tableColumn id="16" xr3:uid="{00000000-0010-0000-0200-000010000000}" name="15" totalsRowFunction="custom" dataDxfId="911" totalsRowDxfId="912">
      <totalsRowFormula>COUNTA(Q8,Q10,Q12,Q14,Q16)</totalsRowFormula>
    </tableColumn>
    <tableColumn id="17" xr3:uid="{00000000-0010-0000-0200-000011000000}" name="16" totalsRowFunction="custom" dataDxfId="909" totalsRowDxfId="910">
      <totalsRowFormula>COUNTA(R8,R10,R12,R14,R16)</totalsRowFormula>
    </tableColumn>
    <tableColumn id="18" xr3:uid="{00000000-0010-0000-0200-000012000000}" name="17" totalsRowFunction="custom" dataDxfId="907" totalsRowDxfId="908">
      <totalsRowFormula>COUNTA(S8,S10,S12,S14,S16)</totalsRowFormula>
    </tableColumn>
    <tableColumn id="19" xr3:uid="{00000000-0010-0000-0200-000013000000}" name="18" totalsRowFunction="custom" dataDxfId="905" totalsRowDxfId="906">
      <totalsRowFormula>COUNTA(T8,T10,T12,T14,T16)</totalsRowFormula>
    </tableColumn>
    <tableColumn id="20" xr3:uid="{00000000-0010-0000-0200-000014000000}" name="19" totalsRowFunction="custom" dataDxfId="903" totalsRowDxfId="904">
      <totalsRowFormula>COUNTA(U8,U10,U12,U14,U16)</totalsRowFormula>
    </tableColumn>
    <tableColumn id="21" xr3:uid="{00000000-0010-0000-0200-000015000000}" name="20" totalsRowFunction="custom" dataDxfId="901" totalsRowDxfId="902">
      <totalsRowFormula>COUNTA(V8,V10,V12,V14,V16)</totalsRowFormula>
    </tableColumn>
    <tableColumn id="22" xr3:uid="{00000000-0010-0000-0200-000016000000}" name="21" totalsRowFunction="custom" dataDxfId="899" totalsRowDxfId="900">
      <totalsRowFormula>COUNTA(W8,W10,W12,W14,W16)</totalsRowFormula>
    </tableColumn>
    <tableColumn id="23" xr3:uid="{00000000-0010-0000-0200-000017000000}" name="22" totalsRowFunction="custom" dataDxfId="897" totalsRowDxfId="898">
      <totalsRowFormula>COUNTA(X8,X10,X12,X14,X16)</totalsRowFormula>
    </tableColumn>
    <tableColumn id="24" xr3:uid="{00000000-0010-0000-0200-000018000000}" name="23" totalsRowFunction="custom" dataDxfId="895" totalsRowDxfId="896">
      <totalsRowFormula>COUNTA(Y8,Y10,Y12,Y14,Y16)</totalsRowFormula>
    </tableColumn>
    <tableColumn id="25" xr3:uid="{00000000-0010-0000-0200-000019000000}" name="24" totalsRowFunction="custom" dataDxfId="893" totalsRowDxfId="894">
      <totalsRowFormula>COUNTA(Z8,Z10,Z12,Z14,Z16)</totalsRowFormula>
    </tableColumn>
    <tableColumn id="26" xr3:uid="{00000000-0010-0000-0200-00001A000000}" name="25" totalsRowFunction="custom" dataDxfId="891" totalsRowDxfId="892">
      <totalsRowFormula>COUNTA(AA8,AA10,AA12,AA14,AA16)</totalsRowFormula>
    </tableColumn>
    <tableColumn id="27" xr3:uid="{00000000-0010-0000-0200-00001B000000}" name="26" totalsRowFunction="custom" dataDxfId="889" totalsRowDxfId="890">
      <totalsRowFormula>COUNTA(AB8,AB10,AB12,AB14,AB16)</totalsRowFormula>
    </tableColumn>
    <tableColumn id="28" xr3:uid="{00000000-0010-0000-0200-00001C000000}" name="27" totalsRowFunction="custom" dataDxfId="887" totalsRowDxfId="888">
      <totalsRowFormula>COUNTA(AC8,AC10,AC12,AC14,AC16)</totalsRowFormula>
    </tableColumn>
    <tableColumn id="29" xr3:uid="{00000000-0010-0000-0200-00001D000000}" name="28" totalsRowFunction="custom" dataDxfId="885" totalsRowDxfId="886">
      <totalsRowFormula>COUNTA(AD8,AD10,AD12,AD14,AD16)</totalsRowFormula>
    </tableColumn>
    <tableColumn id="30" xr3:uid="{00000000-0010-0000-0200-00001E000000}" name="29" totalsRowFunction="custom" dataDxfId="883" totalsRowDxfId="884">
      <totalsRowFormula>COUNTA(AE8,AE10,AE12,AE14,AE16)</totalsRowFormula>
    </tableColumn>
    <tableColumn id="31" xr3:uid="{00000000-0010-0000-0200-00001F000000}" name="30" totalsRowFunction="custom" dataDxfId="881" totalsRowDxfId="882">
      <totalsRowFormula>COUNTA(AF8,AF10,AF12,AF14,AF16)</totalsRowFormula>
    </tableColumn>
    <tableColumn id="32" xr3:uid="{00000000-0010-0000-0200-000020000000}" name="31" totalsRowFunction="custom" dataDxfId="879" totalsRowDxfId="880" dataCellStyle="Total">
      <totalsRowFormula>COUNTA(AG8,AG10,AG12,AG14,AG16)</totalsRowFormula>
    </tableColumn>
    <tableColumn id="33" xr3:uid="{00000000-0010-0000-0200-000021000000}" name="Total de dias" totalsRowFunction="sum" dataDxfId="877" totalsRowDxfId="878" dataCellStyle="Total">
      <calculatedColumnFormula>COUNTA(Março[[#This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214BC2-F1A9-794B-922E-B532EC6BBFDF}" name="March5" displayName="March5" ref="B7:AG18" totalsRowCount="1" headerRowDxfId="833" dataDxfId="832" totalsRowDxfId="831">
  <tableColumns count="32">
    <tableColumn id="1" xr3:uid="{5251F992-E710-C643-B160-C37BB2131D31}" name="Diretor" totalsRowLabel="Total de afastamentos" dataDxfId="829" totalsRowDxfId="830" dataCellStyle="Funcionário"/>
    <tableColumn id="2" xr3:uid="{9AEC3AA3-9F0E-4B4E-A8ED-026BAE9C428F}" name="1" totalsRowFunction="custom" dataDxfId="827" totalsRowDxfId="828">
      <totalsRowFormula>COUNTA(C8,C10,C12,C14,C16)</totalsRowFormula>
    </tableColumn>
    <tableColumn id="3" xr3:uid="{55750F7A-05DD-CB41-95C5-BE1F874725AE}" name="2" totalsRowFunction="custom" dataDxfId="825" totalsRowDxfId="826">
      <totalsRowFormula>COUNTA(D8,D10,D12,D14,D16)</totalsRowFormula>
    </tableColumn>
    <tableColumn id="4" xr3:uid="{259912E4-C37B-5145-B99B-93F989E18A49}" name="3" totalsRowFunction="custom" dataDxfId="823" totalsRowDxfId="824">
      <totalsRowFormula>COUNTA(E8,E10,E12,E14,E16)</totalsRowFormula>
    </tableColumn>
    <tableColumn id="5" xr3:uid="{44743504-4BFF-3B46-87DE-A0AE5C8C9FC0}" name="4" totalsRowFunction="custom" dataDxfId="821" totalsRowDxfId="822">
      <totalsRowFormula>COUNTA(F8,F10,F12,F14,F16)</totalsRowFormula>
    </tableColumn>
    <tableColumn id="6" xr3:uid="{471BE969-F222-D642-8D1A-B386CCC29AB2}" name="5" totalsRowFunction="custom" dataDxfId="819" totalsRowDxfId="820">
      <totalsRowFormula>COUNTA(G8,G10,G12,G14,G16)</totalsRowFormula>
    </tableColumn>
    <tableColumn id="7" xr3:uid="{35FEC3F2-5280-D342-A070-AB9A3C3BCF0A}" name="6" totalsRowFunction="custom" dataDxfId="817" totalsRowDxfId="818">
      <totalsRowFormula>COUNTA(H8,H10,H12,H14,H16)</totalsRowFormula>
    </tableColumn>
    <tableColumn id="8" xr3:uid="{D4047C63-7046-5242-9483-0BC31BD18200}" name="7" totalsRowFunction="custom" dataDxfId="815" totalsRowDxfId="816">
      <totalsRowFormula>COUNTA(I8,I10,I12,I14,I16)</totalsRowFormula>
    </tableColumn>
    <tableColumn id="9" xr3:uid="{79A2B7D0-444A-5942-9296-2BD32E471C66}" name="8" totalsRowFunction="custom" dataDxfId="813" totalsRowDxfId="814">
      <totalsRowFormula>COUNTA(J8,J10,J12,J14,J16)</totalsRowFormula>
    </tableColumn>
    <tableColumn id="10" xr3:uid="{B46D113E-7D39-5A43-BAA4-11739C4AD0C2}" name="9" totalsRowFunction="custom" dataDxfId="811" totalsRowDxfId="812">
      <totalsRowFormula>COUNTA(K8,K10,K12,K14,K16)</totalsRowFormula>
    </tableColumn>
    <tableColumn id="11" xr3:uid="{977EC8E9-AEB6-3E40-BE79-A406D4D3444D}" name="10" totalsRowFunction="custom" dataDxfId="809" totalsRowDxfId="810">
      <totalsRowFormula>COUNTA(L8,L10,L12,L14,L16)</totalsRowFormula>
    </tableColumn>
    <tableColumn id="12" xr3:uid="{42883C66-F682-394E-8D72-6C0286CB27EA}" name="11" totalsRowFunction="custom" dataDxfId="807" totalsRowDxfId="808">
      <totalsRowFormula>COUNTA(M8,M10,M12,M14,M16)</totalsRowFormula>
    </tableColumn>
    <tableColumn id="13" xr3:uid="{9A10401F-4CF0-8641-BCEB-2237315C8881}" name="12" totalsRowFunction="custom" dataDxfId="805" totalsRowDxfId="806">
      <totalsRowFormula>COUNTA(N8,N10,N12,N14,N16)</totalsRowFormula>
    </tableColumn>
    <tableColumn id="14" xr3:uid="{9C8C4D04-BE8B-FB44-9666-B515D905B2D6}" name="13" totalsRowFunction="custom" dataDxfId="803" totalsRowDxfId="804">
      <totalsRowFormula>COUNTA(O8,O10,O12,O14,O16)</totalsRowFormula>
    </tableColumn>
    <tableColumn id="15" xr3:uid="{E996717D-17EC-B048-A561-2AD987D342D0}" name="14" totalsRowFunction="custom" dataDxfId="801" totalsRowDxfId="802">
      <totalsRowFormula>COUNTA(P8,P10,P12,P14,P16)</totalsRowFormula>
    </tableColumn>
    <tableColumn id="16" xr3:uid="{3BFEBF2B-F60F-A142-86F2-75C9DC96AFDB}" name="15" totalsRowFunction="custom" dataDxfId="799" totalsRowDxfId="800">
      <totalsRowFormula>COUNTA(Q8,Q10,Q12,Q14,Q16)</totalsRowFormula>
    </tableColumn>
    <tableColumn id="17" xr3:uid="{0C97EF54-1361-BE43-8F7F-1BCE23E1AB5A}" name="16" totalsRowFunction="custom" dataDxfId="797" totalsRowDxfId="798">
      <totalsRowFormula>COUNTA(R8,R10,R12,R14,R16)</totalsRowFormula>
    </tableColumn>
    <tableColumn id="18" xr3:uid="{257791F4-E1CB-0642-BD3B-FB1B81C57DF1}" name="17" totalsRowFunction="custom" dataDxfId="795" totalsRowDxfId="796">
      <totalsRowFormula>COUNTA(S8,S10,S12,S14,S16)</totalsRowFormula>
    </tableColumn>
    <tableColumn id="19" xr3:uid="{BB7AB6EF-7B76-5946-B53A-22DB3EB1F3FC}" name="18" totalsRowFunction="custom" dataDxfId="793" totalsRowDxfId="794">
      <totalsRowFormula>COUNTA(T8,T10,T12,T14,T16)</totalsRowFormula>
    </tableColumn>
    <tableColumn id="20" xr3:uid="{85AEA6C3-1E60-234F-8E68-DD23536D850B}" name="19" totalsRowFunction="custom" dataDxfId="791" totalsRowDxfId="792">
      <totalsRowFormula>COUNTA(U8,U10,U12,U14,U16)</totalsRowFormula>
    </tableColumn>
    <tableColumn id="21" xr3:uid="{A73B9507-91D4-9B42-8C0E-1E0FB67905F8}" name="20" totalsRowFunction="custom" dataDxfId="789" totalsRowDxfId="790">
      <totalsRowFormula>COUNTA(V8,V10,V12,V14,V16)</totalsRowFormula>
    </tableColumn>
    <tableColumn id="22" xr3:uid="{5C7BDCBF-0A5A-4549-B80B-C8343893EAF7}" name="21" totalsRowFunction="custom" dataDxfId="787" totalsRowDxfId="788">
      <totalsRowFormula>COUNTA(W8,W10,W12,W14,W16)</totalsRowFormula>
    </tableColumn>
    <tableColumn id="23" xr3:uid="{EC439ECF-E0C6-5D41-9DA2-07E3E82FF691}" name="22" totalsRowFunction="custom" dataDxfId="785" totalsRowDxfId="786">
      <totalsRowFormula>COUNTA(X8,X10,X12,X14,X16)</totalsRowFormula>
    </tableColumn>
    <tableColumn id="24" xr3:uid="{97854A72-AEC9-604B-B1D4-06EC15436469}" name="23" totalsRowFunction="custom" dataDxfId="783" totalsRowDxfId="784">
      <totalsRowFormula>COUNTA(Y8,Y10,Y12,Y14,Y16)</totalsRowFormula>
    </tableColumn>
    <tableColumn id="25" xr3:uid="{F701FD79-E584-DF4B-83E9-A152532FDD15}" name="24" totalsRowFunction="custom" dataDxfId="781" totalsRowDxfId="782">
      <totalsRowFormula>COUNTA(Z8,Z10,Z12,Z14,Z16)</totalsRowFormula>
    </tableColumn>
    <tableColumn id="26" xr3:uid="{C662F6C1-F102-5942-8719-E32AD8792020}" name="25" totalsRowFunction="custom" dataDxfId="779" totalsRowDxfId="780">
      <totalsRowFormula>COUNTA(AA8,AA10,AA12,AA14,AA16)</totalsRowFormula>
    </tableColumn>
    <tableColumn id="27" xr3:uid="{50B9E2E5-9F39-0F45-AE9B-4555A77D295D}" name="26" totalsRowFunction="custom" dataDxfId="777" totalsRowDxfId="778">
      <totalsRowFormula>COUNTA(AB8,AB10,AB12,AB14,AB16)</totalsRowFormula>
    </tableColumn>
    <tableColumn id="28" xr3:uid="{3E4AF3CF-CB70-0842-B373-83CF59CBDA1D}" name="27" totalsRowFunction="custom" dataDxfId="775" totalsRowDxfId="776">
      <totalsRowFormula>COUNTA(AC8,AC10,AC12,AC14,AC16)</totalsRowFormula>
    </tableColumn>
    <tableColumn id="29" xr3:uid="{C5FCD875-31A1-4B41-AAF6-09E535D80C81}" name="28" totalsRowFunction="custom" dataDxfId="773" totalsRowDxfId="774">
      <totalsRowFormula>COUNTA(AD8,AD10,AD12,AD14,AD16)</totalsRowFormula>
    </tableColumn>
    <tableColumn id="30" xr3:uid="{84F06E67-080B-CA42-8EEC-59690B041A03}" name="29" totalsRowFunction="custom" dataDxfId="771" totalsRowDxfId="772">
      <totalsRowFormula>COUNTA(AE8,AE10,AE12,AE14,AE16)</totalsRowFormula>
    </tableColumn>
    <tableColumn id="31" xr3:uid="{284765D5-58F9-F440-84EA-ACE449176ACA}" name="30" totalsRowFunction="custom" dataDxfId="769" totalsRowDxfId="770">
      <totalsRowFormula>COUNTA(AF8,AF10,AF12,AF14,AF16)</totalsRowFormula>
    </tableColumn>
    <tableColumn id="33" xr3:uid="{0DA7656D-8525-2046-AEDA-1F40E411BD0D}" name="Total de dias" dataDxfId="767" totalsRowDxfId="768"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83FD69-EC79-6B43-9728-DBC90C3FDC77}" name="March58" displayName="March58" ref="B7:AH18" totalsRowCount="1" headerRowDxfId="723" dataDxfId="722" totalsRowDxfId="721">
  <tableColumns count="33">
    <tableColumn id="1" xr3:uid="{5910D0B6-76A8-1646-97A8-4AE2D1756125}" name="Diretor" totalsRowLabel="Total de afastamentos" dataDxfId="719" totalsRowDxfId="720" dataCellStyle="Funcionário"/>
    <tableColumn id="2" xr3:uid="{69C27970-12EA-0E42-AF5F-351BA83FD215}" name="1" totalsRowFunction="custom" dataDxfId="717" totalsRowDxfId="718">
      <totalsRowFormula>COUNTA(C8,C10,C12,C14,C16)</totalsRowFormula>
    </tableColumn>
    <tableColumn id="3" xr3:uid="{2DB67051-6E13-964F-86B0-B00AA9A5BFAF}" name="2" totalsRowFunction="custom" dataDxfId="715" totalsRowDxfId="716">
      <totalsRowFormula>COUNTA(D8,D10,D12,D14,D16)</totalsRowFormula>
    </tableColumn>
    <tableColumn id="4" xr3:uid="{CF201FDD-65B9-BE4B-BE51-45EFCA258036}" name="3" totalsRowFunction="custom" dataDxfId="713" totalsRowDxfId="714">
      <totalsRowFormula>COUNTA(E8,E10,E12,E14,E16)</totalsRowFormula>
    </tableColumn>
    <tableColumn id="5" xr3:uid="{E03823B4-0CCA-7D47-BCFD-4BB07A97D88C}" name="4" totalsRowFunction="custom" dataDxfId="711" totalsRowDxfId="712">
      <totalsRowFormula>COUNTA(F8,F10,F12,F14,F16)</totalsRowFormula>
    </tableColumn>
    <tableColumn id="6" xr3:uid="{5F39FD90-2520-0847-B186-6CA5B07A072F}" name="5" totalsRowFunction="custom" dataDxfId="709" totalsRowDxfId="710">
      <totalsRowFormula>COUNTA(G8,G10,G12,G14,G16)</totalsRowFormula>
    </tableColumn>
    <tableColumn id="7" xr3:uid="{D7992C25-6255-D54A-8B77-C3032B2914E8}" name="6" totalsRowFunction="custom" dataDxfId="707" totalsRowDxfId="708">
      <totalsRowFormula>COUNTA(H8,H10,H12,H14,H16)</totalsRowFormula>
    </tableColumn>
    <tableColumn id="8" xr3:uid="{161AB8A2-4451-FA40-9408-833AFFC6D7CD}" name="7" totalsRowFunction="custom" dataDxfId="705" totalsRowDxfId="706">
      <totalsRowFormula>COUNTA(I8,I10,I12,I14,I16)</totalsRowFormula>
    </tableColumn>
    <tableColumn id="9" xr3:uid="{82432B13-145C-AC4E-A84F-0C211DED3AEE}" name="8" totalsRowFunction="custom" dataDxfId="703" totalsRowDxfId="704">
      <totalsRowFormula>COUNTA(J8,J10,J12,J14,J16)</totalsRowFormula>
    </tableColumn>
    <tableColumn id="10" xr3:uid="{994E3A00-A93E-8A4C-A93F-5DF73DB59AA5}" name="9" totalsRowFunction="custom" dataDxfId="701" totalsRowDxfId="702">
      <totalsRowFormula>COUNTA(K8,K10,K12,K14,K16)</totalsRowFormula>
    </tableColumn>
    <tableColumn id="11" xr3:uid="{ADA642AC-6B5D-4749-B631-64A63466A02A}" name="10" totalsRowFunction="custom" dataDxfId="699" totalsRowDxfId="700">
      <totalsRowFormula>COUNTA(L8,L10,L12,L14,L16)</totalsRowFormula>
    </tableColumn>
    <tableColumn id="12" xr3:uid="{E1D9D052-9150-4B4A-873C-04B0C9F0EAA0}" name="11" totalsRowFunction="custom" dataDxfId="697" totalsRowDxfId="698">
      <totalsRowFormula>COUNTA(M8,M10,M12,M14,M16)</totalsRowFormula>
    </tableColumn>
    <tableColumn id="13" xr3:uid="{7804DD46-EEB3-7047-A68F-A81094B2F0E0}" name="12" totalsRowFunction="custom" dataDxfId="695" totalsRowDxfId="696">
      <totalsRowFormula>COUNTA(N8,N10,N12,N14,N16)</totalsRowFormula>
    </tableColumn>
    <tableColumn id="14" xr3:uid="{39F98B96-5BF4-7747-A3D2-F58049C2C331}" name="13" totalsRowFunction="custom" dataDxfId="693" totalsRowDxfId="694">
      <totalsRowFormula>COUNTA(O8,O10,O12,O14,O16)</totalsRowFormula>
    </tableColumn>
    <tableColumn id="15" xr3:uid="{8908FF7E-1791-CA41-8CF3-4A9F971974C3}" name="14" totalsRowFunction="custom" dataDxfId="691" totalsRowDxfId="692">
      <totalsRowFormula>COUNTA(P8,P10,P12,P14,P16)</totalsRowFormula>
    </tableColumn>
    <tableColumn id="16" xr3:uid="{773FDBBE-AB42-A546-8329-8BDAEF4D06C4}" name="15" totalsRowFunction="custom" dataDxfId="689" totalsRowDxfId="690">
      <totalsRowFormula>COUNTA(Q8,Q10,Q12,Q14,Q16)</totalsRowFormula>
    </tableColumn>
    <tableColumn id="17" xr3:uid="{01EE92EC-B490-AF40-BDB2-290F1B1C3C58}" name="16" totalsRowFunction="custom" dataDxfId="687" totalsRowDxfId="688">
      <totalsRowFormula>COUNTA(R8,R10,R12,R14,R16)</totalsRowFormula>
    </tableColumn>
    <tableColumn id="18" xr3:uid="{DF22A54C-2BE2-1340-BC66-FDDF323ABBE0}" name="17" totalsRowFunction="custom" dataDxfId="685" totalsRowDxfId="686">
      <totalsRowFormula>COUNTA(S8,S10,S12,S14,S16)</totalsRowFormula>
    </tableColumn>
    <tableColumn id="19" xr3:uid="{BB1CDCA3-E15B-8D4E-ABE5-0D5BE02A950E}" name="18" totalsRowFunction="custom" dataDxfId="683" totalsRowDxfId="684">
      <totalsRowFormula>COUNTA(T8,T10,T12,T14,T16)</totalsRowFormula>
    </tableColumn>
    <tableColumn id="20" xr3:uid="{4D5E657B-D9D2-8C4A-A4EB-E29B4B8BCF70}" name="19" totalsRowFunction="custom" dataDxfId="681" totalsRowDxfId="682">
      <totalsRowFormula>COUNTA(U8,U10,U12,U14,U16)</totalsRowFormula>
    </tableColumn>
    <tableColumn id="21" xr3:uid="{B5D1019E-86BD-A146-A976-653D87FAC02B}" name="20" totalsRowFunction="custom" dataDxfId="679" totalsRowDxfId="680">
      <totalsRowFormula>COUNTA(V8,V10,V12,V14,V16)</totalsRowFormula>
    </tableColumn>
    <tableColumn id="22" xr3:uid="{D1F7F5A1-B363-AC44-9332-4BA33D6CCEA8}" name="21" totalsRowFunction="custom" dataDxfId="677" totalsRowDxfId="678">
      <totalsRowFormula>COUNTA(W8,W10,W12,W14,W16)</totalsRowFormula>
    </tableColumn>
    <tableColumn id="23" xr3:uid="{0EEDA366-AE45-0947-A354-D1B1BEB67F28}" name="22" totalsRowFunction="custom" dataDxfId="675" totalsRowDxfId="676">
      <totalsRowFormula>COUNTA(X8,X10,X12,X14,X16)</totalsRowFormula>
    </tableColumn>
    <tableColumn id="24" xr3:uid="{8DB56569-FE6B-4249-B364-D76AC1D9BE79}" name="23" totalsRowFunction="custom" dataDxfId="673" totalsRowDxfId="674">
      <totalsRowFormula>COUNTA(Y8,Y10,Y12,Y14,Y16)</totalsRowFormula>
    </tableColumn>
    <tableColumn id="25" xr3:uid="{5BECBC0C-925A-8245-AD6D-847781A68957}" name="24" totalsRowFunction="custom" dataDxfId="671" totalsRowDxfId="672">
      <totalsRowFormula>COUNTA(Z8,Z10,Z12,Z14,Z16)</totalsRowFormula>
    </tableColumn>
    <tableColumn id="26" xr3:uid="{7D745BDB-6C53-8B4B-BA72-5FBDCB5D9CCC}" name="25" totalsRowFunction="custom" dataDxfId="669" totalsRowDxfId="670">
      <totalsRowFormula>COUNTA(AA8,AA10,AA12,AA14,AA16)</totalsRowFormula>
    </tableColumn>
    <tableColumn id="27" xr3:uid="{FA6FFB4C-5E6D-DA4E-8F87-EEC900B26695}" name="26" totalsRowFunction="custom" dataDxfId="667" totalsRowDxfId="668">
      <totalsRowFormula>COUNTA(AB8,AB10,AB12,AB14,AB16)</totalsRowFormula>
    </tableColumn>
    <tableColumn id="28" xr3:uid="{A50BDA94-D72B-C043-A8B2-E1E178EA827F}" name="27" totalsRowFunction="custom" dataDxfId="665" totalsRowDxfId="666">
      <totalsRowFormula>COUNTA(AC8,AC10,AC12,AC14,AC16)</totalsRowFormula>
    </tableColumn>
    <tableColumn id="29" xr3:uid="{D68B12D0-F485-FF42-B2E6-30EC0E2C418D}" name="28" totalsRowFunction="custom" dataDxfId="663" totalsRowDxfId="664">
      <totalsRowFormula>COUNTA(AD8,AD10,AD12,AD14,AD16)</totalsRowFormula>
    </tableColumn>
    <tableColumn id="30" xr3:uid="{695C2584-A6A5-D742-A768-02D19E90DEBC}" name="29" totalsRowFunction="custom" dataDxfId="661" totalsRowDxfId="662">
      <totalsRowFormula>COUNTA(AE8,AE10,AE12,AE14,AE16)</totalsRowFormula>
    </tableColumn>
    <tableColumn id="31" xr3:uid="{0B002160-8CE9-4B4E-A7A4-CFE8C54F8781}" name="30" totalsRowFunction="custom" dataDxfId="659" totalsRowDxfId="660">
      <totalsRowFormula>COUNTA(AF8,AF10,AF12,AF14,AF16)</totalsRowFormula>
    </tableColumn>
    <tableColumn id="32" xr3:uid="{9A241B27-F77F-9E49-9678-7978D0423F17}" name="31" totalsRowFunction="custom" dataDxfId="657" totalsRowDxfId="658" dataCellStyle="Total">
      <totalsRowFormula>COUNTA(AG8,AG10,AG12,AG14,AG16)</totalsRowFormula>
    </tableColumn>
    <tableColumn id="33" xr3:uid="{C85EB010-29D3-FD4A-9882-B705BDC3D2EF}" name="Total de dias" dataDxfId="655" totalsRowDxfId="656" dataCellStyle="Total">
      <calculatedColumnFormula>COUNTA(March58[[#This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nho" displayName="Junho" ref="B7:AG18" totalsRowCount="1" headerRowDxfId="638" dataDxfId="637" totalsRowDxfId="636">
  <tableColumns count="32">
    <tableColumn id="1" xr3:uid="{00000000-0010-0000-0500-000001000000}" name="Diretor" totalsRowLabel="Total de afastamentos" dataDxfId="634" totalsRowDxfId="635" dataCellStyle="Funcionário"/>
    <tableColumn id="2" xr3:uid="{00000000-0010-0000-0500-000002000000}" name="1" totalsRowFunction="custom" dataDxfId="632" totalsRowDxfId="633">
      <totalsRowFormula>COUNTA(C8,C10,C12,C14,C16)</totalsRowFormula>
    </tableColumn>
    <tableColumn id="3" xr3:uid="{00000000-0010-0000-0500-000003000000}" name="2" totalsRowFunction="custom" dataDxfId="630" totalsRowDxfId="631">
      <totalsRowFormula>COUNTA(D8,D10,D12,D14,D16)</totalsRowFormula>
    </tableColumn>
    <tableColumn id="4" xr3:uid="{00000000-0010-0000-0500-000004000000}" name="3" totalsRowFunction="custom" dataDxfId="628" totalsRowDxfId="629">
      <totalsRowFormula>COUNTA(E8,E10,E12,E14,E16)</totalsRowFormula>
    </tableColumn>
    <tableColumn id="5" xr3:uid="{00000000-0010-0000-0500-000005000000}" name="4" totalsRowFunction="custom" dataDxfId="626" totalsRowDxfId="627">
      <totalsRowFormula>COUNTA(F8,F10,F12,F14,F16)</totalsRowFormula>
    </tableColumn>
    <tableColumn id="6" xr3:uid="{00000000-0010-0000-0500-000006000000}" name="5" totalsRowFunction="custom" dataDxfId="624" totalsRowDxfId="625">
      <totalsRowFormula>COUNTA(G8,G10,G12,G14,G16)</totalsRowFormula>
    </tableColumn>
    <tableColumn id="7" xr3:uid="{00000000-0010-0000-0500-000007000000}" name="6" totalsRowFunction="custom" dataDxfId="622" totalsRowDxfId="623">
      <totalsRowFormula>COUNTA(H8,H10,H12,H14,H16)</totalsRowFormula>
    </tableColumn>
    <tableColumn id="8" xr3:uid="{00000000-0010-0000-0500-000008000000}" name="7" totalsRowFunction="custom" dataDxfId="620" totalsRowDxfId="621">
      <totalsRowFormula>COUNTA(I8,I10,I12,I14,I16)</totalsRowFormula>
    </tableColumn>
    <tableColumn id="9" xr3:uid="{00000000-0010-0000-0500-000009000000}" name="8" totalsRowFunction="custom" dataDxfId="618" totalsRowDxfId="619">
      <totalsRowFormula>COUNTA(J8,J10,J12,J14,J16)</totalsRowFormula>
    </tableColumn>
    <tableColumn id="10" xr3:uid="{00000000-0010-0000-0500-00000A000000}" name="9" totalsRowFunction="custom" dataDxfId="616" totalsRowDxfId="617">
      <totalsRowFormula>COUNTA(K8,K10,K12,K14,K16)</totalsRowFormula>
    </tableColumn>
    <tableColumn id="11" xr3:uid="{00000000-0010-0000-0500-00000B000000}" name="10" totalsRowFunction="custom" dataDxfId="614" totalsRowDxfId="615">
      <totalsRowFormula>COUNTA(L8,L10,L12,L14,L16)</totalsRowFormula>
    </tableColumn>
    <tableColumn id="12" xr3:uid="{00000000-0010-0000-0500-00000C000000}" name="11" totalsRowFunction="custom" dataDxfId="612" totalsRowDxfId="613">
      <totalsRowFormula>COUNTA(M8,M10,M12,M14,M16)</totalsRowFormula>
    </tableColumn>
    <tableColumn id="13" xr3:uid="{00000000-0010-0000-0500-00000D000000}" name="12" totalsRowFunction="custom" dataDxfId="610" totalsRowDxfId="611">
      <totalsRowFormula>COUNTA(N8,N10,N12,N14,N16)</totalsRowFormula>
    </tableColumn>
    <tableColumn id="14" xr3:uid="{00000000-0010-0000-0500-00000E000000}" name="13" totalsRowFunction="custom" dataDxfId="608" totalsRowDxfId="609">
      <totalsRowFormula>COUNTA(O8,O10,O12,O14,O16)</totalsRowFormula>
    </tableColumn>
    <tableColumn id="15" xr3:uid="{00000000-0010-0000-0500-00000F000000}" name="14" totalsRowFunction="custom" dataDxfId="606" totalsRowDxfId="607">
      <totalsRowFormula>COUNTA(P8,P10,P12,P14,P16)</totalsRowFormula>
    </tableColumn>
    <tableColumn id="16" xr3:uid="{00000000-0010-0000-0500-000010000000}" name="15" totalsRowFunction="custom" dataDxfId="604" totalsRowDxfId="605">
      <totalsRowFormula>COUNTA(Q8,Q10,Q12,Q14,Q16)</totalsRowFormula>
    </tableColumn>
    <tableColumn id="17" xr3:uid="{00000000-0010-0000-0500-000011000000}" name="16" totalsRowFunction="custom" dataDxfId="602" totalsRowDxfId="603">
      <totalsRowFormula>COUNTA(R8,R10,R12,R14,R16)</totalsRowFormula>
    </tableColumn>
    <tableColumn id="18" xr3:uid="{00000000-0010-0000-0500-000012000000}" name="17" totalsRowFunction="custom" dataDxfId="600" totalsRowDxfId="601">
      <totalsRowFormula>COUNTA(S8,S10,S12,S14,S16)</totalsRowFormula>
    </tableColumn>
    <tableColumn id="19" xr3:uid="{00000000-0010-0000-0500-000013000000}" name="18" totalsRowFunction="custom" dataDxfId="598" totalsRowDxfId="599">
      <totalsRowFormula>COUNTA(T8,T10,T12,T14,T16)</totalsRowFormula>
    </tableColumn>
    <tableColumn id="20" xr3:uid="{00000000-0010-0000-0500-000014000000}" name="19" totalsRowFunction="custom" dataDxfId="596" totalsRowDxfId="597">
      <totalsRowFormula>COUNTA(U8,U10,U12,U14,U16)</totalsRowFormula>
    </tableColumn>
    <tableColumn id="21" xr3:uid="{00000000-0010-0000-0500-000015000000}" name="20" totalsRowFunction="custom" dataDxfId="594" totalsRowDxfId="595">
      <totalsRowFormula>COUNTA(V8,V10,V12,V14,V16)</totalsRowFormula>
    </tableColumn>
    <tableColumn id="22" xr3:uid="{00000000-0010-0000-0500-000016000000}" name="21" totalsRowFunction="custom" dataDxfId="592" totalsRowDxfId="593">
      <totalsRowFormula>COUNTA(W8,W10,W12,W14,W16)</totalsRowFormula>
    </tableColumn>
    <tableColumn id="23" xr3:uid="{00000000-0010-0000-0500-000017000000}" name="22" totalsRowFunction="custom" dataDxfId="590" totalsRowDxfId="591">
      <totalsRowFormula>COUNTA(X8,X10,X12,X14,X16)</totalsRowFormula>
    </tableColumn>
    <tableColumn id="24" xr3:uid="{00000000-0010-0000-0500-000018000000}" name="23" totalsRowFunction="custom" dataDxfId="588" totalsRowDxfId="589">
      <totalsRowFormula>COUNTA(Y8,Y10,Y12,Y14,Y16)</totalsRowFormula>
    </tableColumn>
    <tableColumn id="25" xr3:uid="{00000000-0010-0000-0500-000019000000}" name="24" totalsRowFunction="custom" dataDxfId="586" totalsRowDxfId="587">
      <totalsRowFormula>COUNTA(Z8,Z10,Z12,Z14,Z16)</totalsRowFormula>
    </tableColumn>
    <tableColumn id="26" xr3:uid="{00000000-0010-0000-0500-00001A000000}" name="25" totalsRowFunction="custom" dataDxfId="584" totalsRowDxfId="585">
      <totalsRowFormula>COUNTA(AA8,AA10,AA12,AA14,AA16)</totalsRowFormula>
    </tableColumn>
    <tableColumn id="27" xr3:uid="{00000000-0010-0000-0500-00001B000000}" name="26" totalsRowFunction="custom" dataDxfId="582" totalsRowDxfId="583">
      <totalsRowFormula>COUNTA(AB8,AB10,AB12,AB14,AB16)</totalsRowFormula>
    </tableColumn>
    <tableColumn id="28" xr3:uid="{00000000-0010-0000-0500-00001C000000}" name="27" totalsRowFunction="custom" dataDxfId="580" totalsRowDxfId="581">
      <totalsRowFormula>COUNTA(AC8,AC10,AC12,AC14,AC16)</totalsRowFormula>
    </tableColumn>
    <tableColumn id="29" xr3:uid="{00000000-0010-0000-0500-00001D000000}" name="28" totalsRowFunction="custom" dataDxfId="578" totalsRowDxfId="579">
      <totalsRowFormula>COUNTA(AD8,AD10,AD12,AD14,AD16)</totalsRowFormula>
    </tableColumn>
    <tableColumn id="30" xr3:uid="{00000000-0010-0000-0500-00001E000000}" name="29" totalsRowFunction="custom" dataDxfId="576" totalsRowDxfId="577">
      <totalsRowFormula>COUNTA(AE8,AE10,AE12,AE14,AE16)</totalsRowFormula>
    </tableColumn>
    <tableColumn id="31" xr3:uid="{00000000-0010-0000-0500-00001F000000}" name="30" totalsRowFunction="custom" dataDxfId="574" totalsRowDxfId="575">
      <totalsRowFormula>COUNTA(AF8,AF10,AF12,AF14,AF16)</totalsRowFormula>
    </tableColumn>
    <tableColumn id="33" xr3:uid="{00000000-0010-0000-0500-000021000000}" name="Total de dias" dataDxfId="572" totalsRowDxfId="573"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lho" displayName="Julho" ref="B7:AH18" totalsRowCount="1" headerRowDxfId="510" dataDxfId="509" totalsRowDxfId="508">
  <tableColumns count="33">
    <tableColumn id="1" xr3:uid="{00000000-0010-0000-0600-000001000000}" name="Diretor" totalsRowLabel="Total de afastamentos" dataDxfId="506" totalsRowDxfId="507" dataCellStyle="Funcionário"/>
    <tableColumn id="2" xr3:uid="{00000000-0010-0000-0600-000002000000}" name="1" totalsRowFunction="custom" dataDxfId="504" totalsRowDxfId="505">
      <totalsRowFormula>COUNTA(C8,C10,C12,C14,C16)</totalsRowFormula>
    </tableColumn>
    <tableColumn id="3" xr3:uid="{00000000-0010-0000-0600-000003000000}" name="2" totalsRowFunction="custom" dataDxfId="502" totalsRowDxfId="503">
      <totalsRowFormula>COUNTA(D8,D10,D12,D14,D16)</totalsRowFormula>
    </tableColumn>
    <tableColumn id="4" xr3:uid="{00000000-0010-0000-0600-000004000000}" name="3" totalsRowFunction="custom" dataDxfId="500" totalsRowDxfId="501">
      <totalsRowFormula>COUNTA(E8,E10,E12,E14,E16)</totalsRowFormula>
    </tableColumn>
    <tableColumn id="5" xr3:uid="{00000000-0010-0000-0600-000005000000}" name="4" totalsRowFunction="custom" dataDxfId="498" totalsRowDxfId="499">
      <totalsRowFormula>COUNTA(F8,F10,F12,F14,F16)</totalsRowFormula>
    </tableColumn>
    <tableColumn id="6" xr3:uid="{00000000-0010-0000-0600-000006000000}" name="5" totalsRowFunction="custom" dataDxfId="496" totalsRowDxfId="497">
      <totalsRowFormula>COUNTA(G8,G10,G12,G14,G16)</totalsRowFormula>
    </tableColumn>
    <tableColumn id="7" xr3:uid="{00000000-0010-0000-0600-000007000000}" name="6" totalsRowFunction="custom" dataDxfId="494" totalsRowDxfId="495">
      <totalsRowFormula>COUNTA(H8,H10,H12,H14,H16)</totalsRowFormula>
    </tableColumn>
    <tableColumn id="8" xr3:uid="{00000000-0010-0000-0600-000008000000}" name="7" totalsRowFunction="custom" dataDxfId="492" totalsRowDxfId="493">
      <totalsRowFormula>COUNTA(I8,I10,I12,I14,I16)</totalsRowFormula>
    </tableColumn>
    <tableColumn id="9" xr3:uid="{00000000-0010-0000-0600-000009000000}" name="8" totalsRowFunction="custom" dataDxfId="490" totalsRowDxfId="491">
      <totalsRowFormula>COUNTA(J8,J10,J12,J14,J16)</totalsRowFormula>
    </tableColumn>
    <tableColumn id="10" xr3:uid="{00000000-0010-0000-0600-00000A000000}" name="9" totalsRowFunction="custom" dataDxfId="488" totalsRowDxfId="489">
      <totalsRowFormula>COUNTA(K8,K10,K12,K14,K16)</totalsRowFormula>
    </tableColumn>
    <tableColumn id="11" xr3:uid="{00000000-0010-0000-0600-00000B000000}" name="10" totalsRowFunction="custom" dataDxfId="486" totalsRowDxfId="487">
      <totalsRowFormula>COUNTA(L8,L10,L12,L14,L16)</totalsRowFormula>
    </tableColumn>
    <tableColumn id="12" xr3:uid="{00000000-0010-0000-0600-00000C000000}" name="11" totalsRowFunction="custom" dataDxfId="484" totalsRowDxfId="485">
      <totalsRowFormula>COUNTA(M8,M10,M12,M14,M16)</totalsRowFormula>
    </tableColumn>
    <tableColumn id="13" xr3:uid="{00000000-0010-0000-0600-00000D000000}" name="12" totalsRowFunction="custom" dataDxfId="482" totalsRowDxfId="483">
      <totalsRowFormula>COUNTA(N8,N10,N12,N14,N16)</totalsRowFormula>
    </tableColumn>
    <tableColumn id="14" xr3:uid="{00000000-0010-0000-0600-00000E000000}" name="13" totalsRowFunction="custom" dataDxfId="480" totalsRowDxfId="481">
      <totalsRowFormula>COUNTA(O8,O10,O12,O14,O16)</totalsRowFormula>
    </tableColumn>
    <tableColumn id="15" xr3:uid="{00000000-0010-0000-0600-00000F000000}" name="14" totalsRowFunction="custom" dataDxfId="478" totalsRowDxfId="479">
      <totalsRowFormula>COUNTA(P8,P10,P12,P14,P16)</totalsRowFormula>
    </tableColumn>
    <tableColumn id="16" xr3:uid="{00000000-0010-0000-0600-000010000000}" name="15" totalsRowFunction="custom" dataDxfId="476" totalsRowDxfId="477">
      <totalsRowFormula>COUNTA(Q8,Q10,Q12,Q14,Q16)</totalsRowFormula>
    </tableColumn>
    <tableColumn id="17" xr3:uid="{00000000-0010-0000-0600-000011000000}" name="16" totalsRowFunction="custom" dataDxfId="474" totalsRowDxfId="475">
      <totalsRowFormula>COUNTA(R8,R10,R12,R14,R16)</totalsRowFormula>
    </tableColumn>
    <tableColumn id="18" xr3:uid="{00000000-0010-0000-0600-000012000000}" name="17" totalsRowFunction="custom" dataDxfId="472" totalsRowDxfId="473">
      <totalsRowFormula>COUNTA(S8,S10,S12,S14,S16)</totalsRowFormula>
    </tableColumn>
    <tableColumn id="19" xr3:uid="{00000000-0010-0000-0600-000013000000}" name="18" totalsRowFunction="custom" dataDxfId="470" totalsRowDxfId="471">
      <totalsRowFormula>COUNTA(T8,T10,T12,T14,T16)</totalsRowFormula>
    </tableColumn>
    <tableColumn id="20" xr3:uid="{00000000-0010-0000-0600-000014000000}" name="19" totalsRowFunction="custom" dataDxfId="468" totalsRowDxfId="469">
      <totalsRowFormula>COUNTA(U8,U10,U12,U14,U16)</totalsRowFormula>
    </tableColumn>
    <tableColumn id="21" xr3:uid="{00000000-0010-0000-0600-000015000000}" name="20" totalsRowFunction="custom" dataDxfId="466" totalsRowDxfId="467">
      <totalsRowFormula>COUNTA(V8,V10,V12,V14,V16)</totalsRowFormula>
    </tableColumn>
    <tableColumn id="22" xr3:uid="{00000000-0010-0000-0600-000016000000}" name="21" totalsRowFunction="custom" dataDxfId="464" totalsRowDxfId="465">
      <totalsRowFormula>COUNTA(W8,W10,W12,W14,W16)</totalsRowFormula>
    </tableColumn>
    <tableColumn id="23" xr3:uid="{00000000-0010-0000-0600-000017000000}" name="22" totalsRowFunction="custom" dataDxfId="462" totalsRowDxfId="463">
      <totalsRowFormula>COUNTA(X8,X10,X12,X14,X16)</totalsRowFormula>
    </tableColumn>
    <tableColumn id="24" xr3:uid="{00000000-0010-0000-0600-000018000000}" name="23" totalsRowFunction="custom" dataDxfId="460" totalsRowDxfId="461">
      <totalsRowFormula>COUNTA(Y8,Y10,Y12,Y14,Y16)</totalsRowFormula>
    </tableColumn>
    <tableColumn id="25" xr3:uid="{00000000-0010-0000-0600-000019000000}" name="24" totalsRowFunction="custom" dataDxfId="458" totalsRowDxfId="459">
      <totalsRowFormula>COUNTA(Z8,Z10,Z12,Z14,Z16)</totalsRowFormula>
    </tableColumn>
    <tableColumn id="26" xr3:uid="{00000000-0010-0000-0600-00001A000000}" name="25" totalsRowFunction="custom" dataDxfId="456" totalsRowDxfId="457">
      <totalsRowFormula>COUNTA(AA8,AA10,AA12,AA14,AA16)</totalsRowFormula>
    </tableColumn>
    <tableColumn id="27" xr3:uid="{00000000-0010-0000-0600-00001B000000}" name="26" totalsRowFunction="custom" dataDxfId="454" totalsRowDxfId="455">
      <totalsRowFormula>COUNTA(AB8,AB10,AB12,AB14,AB16)</totalsRowFormula>
    </tableColumn>
    <tableColumn id="28" xr3:uid="{00000000-0010-0000-0600-00001C000000}" name="27" totalsRowFunction="custom" dataDxfId="452" totalsRowDxfId="453">
      <totalsRowFormula>COUNTA(AC8,AC10,AC12,AC14,AC16)</totalsRowFormula>
    </tableColumn>
    <tableColumn id="29" xr3:uid="{00000000-0010-0000-0600-00001D000000}" name="28" totalsRowFunction="custom" dataDxfId="450" totalsRowDxfId="451">
      <totalsRowFormula>COUNTA(AD8,AD10,AD12,AD14,AD16)</totalsRowFormula>
    </tableColumn>
    <tableColumn id="30" xr3:uid="{00000000-0010-0000-0600-00001E000000}" name="29" totalsRowFunction="custom" dataDxfId="448" totalsRowDxfId="449">
      <totalsRowFormula>COUNTA(AE8,AE10,AE12,AE14,AE16)</totalsRowFormula>
    </tableColumn>
    <tableColumn id="31" xr3:uid="{00000000-0010-0000-0600-00001F000000}" name="30" totalsRowFunction="custom" dataDxfId="446" totalsRowDxfId="447">
      <totalsRowFormula>COUNTA(AF8,AF10,AF12,AF14,AF16)</totalsRowFormula>
    </tableColumn>
    <tableColumn id="32" xr3:uid="{00000000-0010-0000-0600-000020000000}" name="31" totalsRowFunction="custom" dataDxfId="444" totalsRowDxfId="445" dataCellStyle="Total">
      <totalsRowFormula>COUNTA(AG8,AG10,AG12,AG14,AG16)</totalsRowFormula>
    </tableColumn>
    <tableColumn id="33" xr3:uid="{00000000-0010-0000-0600-000021000000}" name="Total de dias" dataDxfId="442" totalsRowDxfId="443" dataCellStyle="Total">
      <calculatedColumnFormula>COUNTA(Julho[[#This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gosto" displayName="Agosto" ref="B7:AH18" totalsRowCount="1" headerRowDxfId="409" dataDxfId="408" totalsRowDxfId="407">
  <tableColumns count="33">
    <tableColumn id="1" xr3:uid="{00000000-0010-0000-0700-000001000000}" name="Diretor" totalsRowLabel="Total de afastamentos" dataDxfId="405" totalsRowDxfId="406" dataCellStyle="Funcionário"/>
    <tableColumn id="2" xr3:uid="{00000000-0010-0000-0700-000002000000}" name="1" totalsRowFunction="custom" dataDxfId="403" totalsRowDxfId="404">
      <totalsRowFormula>COUNTA(C8,C10,C12,C14,C16)</totalsRowFormula>
    </tableColumn>
    <tableColumn id="3" xr3:uid="{00000000-0010-0000-0700-000003000000}" name="2" totalsRowFunction="custom" dataDxfId="401" totalsRowDxfId="402">
      <totalsRowFormula>COUNTA(D8,D10,D12,D14,D16)</totalsRowFormula>
    </tableColumn>
    <tableColumn id="4" xr3:uid="{00000000-0010-0000-0700-000004000000}" name="3" totalsRowFunction="custom" dataDxfId="399" totalsRowDxfId="400">
      <totalsRowFormula>COUNTA(E8,E10,E12,E14,E16)</totalsRowFormula>
    </tableColumn>
    <tableColumn id="5" xr3:uid="{00000000-0010-0000-0700-000005000000}" name="4" totalsRowFunction="custom" dataDxfId="397" totalsRowDxfId="398">
      <totalsRowFormula>COUNTA(F8,F10,F12,F14,F16)</totalsRowFormula>
    </tableColumn>
    <tableColumn id="6" xr3:uid="{00000000-0010-0000-0700-000006000000}" name="5" totalsRowFunction="custom" dataDxfId="395" totalsRowDxfId="396">
      <totalsRowFormula>COUNTA(G8,G10,G12,G14,G16)</totalsRowFormula>
    </tableColumn>
    <tableColumn id="7" xr3:uid="{00000000-0010-0000-0700-000007000000}" name="6" totalsRowFunction="custom" dataDxfId="393" totalsRowDxfId="394">
      <totalsRowFormula>COUNTA(H8,H10,H12,H14,H16)</totalsRowFormula>
    </tableColumn>
    <tableColumn id="8" xr3:uid="{00000000-0010-0000-0700-000008000000}" name="7" totalsRowFunction="custom" dataDxfId="391" totalsRowDxfId="392">
      <totalsRowFormula>COUNTA(I8,I10,I12,I14,I16)</totalsRowFormula>
    </tableColumn>
    <tableColumn id="9" xr3:uid="{00000000-0010-0000-0700-000009000000}" name="8" totalsRowFunction="custom" dataDxfId="389" totalsRowDxfId="390">
      <totalsRowFormula>COUNTA(J8,J10,J12,J14,J16)</totalsRowFormula>
    </tableColumn>
    <tableColumn id="10" xr3:uid="{00000000-0010-0000-0700-00000A000000}" name="9" totalsRowFunction="custom" dataDxfId="387" totalsRowDxfId="388">
      <totalsRowFormula>COUNTA(K8,K10,K12,K14,K16)</totalsRowFormula>
    </tableColumn>
    <tableColumn id="11" xr3:uid="{00000000-0010-0000-0700-00000B000000}" name="10" totalsRowFunction="custom" dataDxfId="385" totalsRowDxfId="386">
      <totalsRowFormula>COUNTA(L8,L10,L12,L14,L16)</totalsRowFormula>
    </tableColumn>
    <tableColumn id="12" xr3:uid="{00000000-0010-0000-0700-00000C000000}" name="11" totalsRowFunction="custom" dataDxfId="383" totalsRowDxfId="384">
      <totalsRowFormula>COUNTA(M8,M10,M12,M14,M16)</totalsRowFormula>
    </tableColumn>
    <tableColumn id="13" xr3:uid="{00000000-0010-0000-0700-00000D000000}" name="12" totalsRowFunction="custom" dataDxfId="381" totalsRowDxfId="382">
      <totalsRowFormula>COUNTA(N8,N10,N12,N14,N16)</totalsRowFormula>
    </tableColumn>
    <tableColumn id="14" xr3:uid="{00000000-0010-0000-0700-00000E000000}" name="13" totalsRowFunction="custom" dataDxfId="379" totalsRowDxfId="380">
      <totalsRowFormula>COUNTA(O8,O10,O12,O14,O16)</totalsRowFormula>
    </tableColumn>
    <tableColumn id="15" xr3:uid="{00000000-0010-0000-0700-00000F000000}" name="14" totalsRowFunction="custom" dataDxfId="377" totalsRowDxfId="378">
      <totalsRowFormula>COUNTA(P8,P10,P12,P14,P16)</totalsRowFormula>
    </tableColumn>
    <tableColumn id="16" xr3:uid="{00000000-0010-0000-0700-000010000000}" name="15" totalsRowFunction="custom" dataDxfId="375" totalsRowDxfId="376">
      <totalsRowFormula>COUNTA(Q8,Q10,Q12,Q14,Q16)</totalsRowFormula>
    </tableColumn>
    <tableColumn id="17" xr3:uid="{00000000-0010-0000-0700-000011000000}" name="16" totalsRowFunction="custom" dataDxfId="373" totalsRowDxfId="374">
      <totalsRowFormula>COUNTA(R8,R10,R12,R14,R16)</totalsRowFormula>
    </tableColumn>
    <tableColumn id="18" xr3:uid="{00000000-0010-0000-0700-000012000000}" name="17" totalsRowFunction="custom" dataDxfId="371" totalsRowDxfId="372">
      <totalsRowFormula>COUNTA(S8,S10,S12,S14,S16)</totalsRowFormula>
    </tableColumn>
    <tableColumn id="19" xr3:uid="{00000000-0010-0000-0700-000013000000}" name="18" totalsRowFunction="custom" dataDxfId="369" totalsRowDxfId="370">
      <totalsRowFormula>COUNTA(T8,T10,T12,T14,T16)</totalsRowFormula>
    </tableColumn>
    <tableColumn id="20" xr3:uid="{00000000-0010-0000-0700-000014000000}" name="19" totalsRowFunction="custom" dataDxfId="367" totalsRowDxfId="368">
      <totalsRowFormula>COUNTA(U8,U10,U12,U14,U16)</totalsRowFormula>
    </tableColumn>
    <tableColumn id="21" xr3:uid="{00000000-0010-0000-0700-000015000000}" name="20" totalsRowFunction="custom" dataDxfId="365" totalsRowDxfId="366">
      <totalsRowFormula>COUNTA(V8,V10,V12,V14,V16)</totalsRowFormula>
    </tableColumn>
    <tableColumn id="22" xr3:uid="{00000000-0010-0000-0700-000016000000}" name="21" totalsRowFunction="custom" dataDxfId="363" totalsRowDxfId="364">
      <totalsRowFormula>COUNTA(W8,W10,W12,W14,W16)</totalsRowFormula>
    </tableColumn>
    <tableColumn id="23" xr3:uid="{00000000-0010-0000-0700-000017000000}" name="22" totalsRowFunction="custom" dataDxfId="361" totalsRowDxfId="362">
      <totalsRowFormula>COUNTA(X8,X10,X12,X14,X16)</totalsRowFormula>
    </tableColumn>
    <tableColumn id="24" xr3:uid="{00000000-0010-0000-0700-000018000000}" name="23" totalsRowFunction="custom" dataDxfId="359" totalsRowDxfId="360">
      <totalsRowFormula>COUNTA(Y8,Y10,Y12,Y14,Y16)</totalsRowFormula>
    </tableColumn>
    <tableColumn id="25" xr3:uid="{00000000-0010-0000-0700-000019000000}" name="24" totalsRowFunction="custom" dataDxfId="357" totalsRowDxfId="358">
      <totalsRowFormula>COUNTA(Z8,Z10,Z12,Z14,Z16)</totalsRowFormula>
    </tableColumn>
    <tableColumn id="26" xr3:uid="{00000000-0010-0000-0700-00001A000000}" name="25" totalsRowFunction="custom" dataDxfId="355" totalsRowDxfId="356">
      <totalsRowFormula>COUNTA(AA8,AA10,AA12,AA14,AA16)</totalsRowFormula>
    </tableColumn>
    <tableColumn id="27" xr3:uid="{00000000-0010-0000-0700-00001B000000}" name="26" totalsRowFunction="custom" dataDxfId="353" totalsRowDxfId="354">
      <totalsRowFormula>COUNTA(AB8,AB10,AB12,AB14,AB16)</totalsRowFormula>
    </tableColumn>
    <tableColumn id="28" xr3:uid="{00000000-0010-0000-0700-00001C000000}" name="27" totalsRowFunction="custom" dataDxfId="351" totalsRowDxfId="352">
      <totalsRowFormula>COUNTA(AC8,AC10,AC12,AC14,AC16)</totalsRowFormula>
    </tableColumn>
    <tableColumn id="29" xr3:uid="{00000000-0010-0000-0700-00001D000000}" name="28" totalsRowFunction="custom" dataDxfId="349" totalsRowDxfId="350">
      <totalsRowFormula>COUNTA(AD8,AD10,AD12,AD14,AD16)</totalsRowFormula>
    </tableColumn>
    <tableColumn id="30" xr3:uid="{00000000-0010-0000-0700-00001E000000}" name="29" totalsRowFunction="custom" dataDxfId="347" totalsRowDxfId="348">
      <totalsRowFormula>COUNTA(AE8,AE10,AE12,AE14,AE16)</totalsRowFormula>
    </tableColumn>
    <tableColumn id="31" xr3:uid="{00000000-0010-0000-0700-00001F000000}" name="30" totalsRowFunction="custom" dataDxfId="345" totalsRowDxfId="346">
      <totalsRowFormula>COUNTA(AF8,AF10,AF12,AF14,AF16)</totalsRowFormula>
    </tableColumn>
    <tableColumn id="32" xr3:uid="{00000000-0010-0000-0700-000020000000}" name="31" totalsRowFunction="custom" dataDxfId="343" totalsRowDxfId="344" dataCellStyle="Total">
      <totalsRowFormula>COUNTA(AG8,AG10,AG12,AG14,AG16)</totalsRowFormula>
    </tableColumn>
    <tableColumn id="33" xr3:uid="{00000000-0010-0000-0700-000021000000}" name="Total de dias" dataDxfId="341" totalsRowDxfId="342" dataCellStyle="Total">
      <calculatedColumnFormula>COUNTA(Agosto[[#This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tembro" displayName="Setembro" ref="B7:AG18" totalsRowCount="1" headerRowDxfId="333" dataDxfId="332" totalsRowDxfId="331">
  <tableColumns count="32">
    <tableColumn id="1" xr3:uid="{00000000-0010-0000-0800-000001000000}" name="Diretor" totalsRowLabel="Total de afastamentos" dataDxfId="329" totalsRowDxfId="330" dataCellStyle="Funcionário"/>
    <tableColumn id="2" xr3:uid="{00000000-0010-0000-0800-000002000000}" name="1" totalsRowFunction="custom" dataDxfId="327" totalsRowDxfId="328">
      <totalsRowFormula>COUNTA(C8,C10,C12,C14,C16)</totalsRowFormula>
    </tableColumn>
    <tableColumn id="3" xr3:uid="{00000000-0010-0000-0800-000003000000}" name="2" totalsRowFunction="custom" dataDxfId="325" totalsRowDxfId="326">
      <totalsRowFormula>COUNTA(D8,D10,D12,D14,D16)</totalsRowFormula>
    </tableColumn>
    <tableColumn id="4" xr3:uid="{00000000-0010-0000-0800-000004000000}" name="3" totalsRowFunction="custom" dataDxfId="323" totalsRowDxfId="324">
      <totalsRowFormula>COUNTA(E8,E10,E12,E14,E16)</totalsRowFormula>
    </tableColumn>
    <tableColumn id="5" xr3:uid="{00000000-0010-0000-0800-000005000000}" name="4" totalsRowFunction="custom" dataDxfId="321" totalsRowDxfId="322">
      <totalsRowFormula>COUNTA(F8,F10,F12,F14,F16)</totalsRowFormula>
    </tableColumn>
    <tableColumn id="6" xr3:uid="{00000000-0010-0000-0800-000006000000}" name="5" totalsRowFunction="custom" dataDxfId="319" totalsRowDxfId="320">
      <totalsRowFormula>COUNTA(G8,G10,G12,G14,G16)</totalsRowFormula>
    </tableColumn>
    <tableColumn id="7" xr3:uid="{00000000-0010-0000-0800-000007000000}" name="6" totalsRowFunction="custom" dataDxfId="317" totalsRowDxfId="318">
      <totalsRowFormula>COUNTA(H8,H10,H12,H14,H16)</totalsRowFormula>
    </tableColumn>
    <tableColumn id="8" xr3:uid="{00000000-0010-0000-0800-000008000000}" name="7" totalsRowFunction="custom" dataDxfId="315" totalsRowDxfId="316">
      <totalsRowFormula>COUNTA(I8,I10,I12,I14,I16)</totalsRowFormula>
    </tableColumn>
    <tableColumn id="9" xr3:uid="{00000000-0010-0000-0800-000009000000}" name="8" totalsRowFunction="custom" dataDxfId="313" totalsRowDxfId="314">
      <totalsRowFormula>COUNTA(J8,J10,J12,J14,J16)</totalsRowFormula>
    </tableColumn>
    <tableColumn id="10" xr3:uid="{00000000-0010-0000-0800-00000A000000}" name="9" totalsRowFunction="custom" dataDxfId="311" totalsRowDxfId="312">
      <totalsRowFormula>COUNTA(K8,K10,K12,K14,K16)</totalsRowFormula>
    </tableColumn>
    <tableColumn id="11" xr3:uid="{00000000-0010-0000-0800-00000B000000}" name="10" totalsRowFunction="custom" dataDxfId="309" totalsRowDxfId="310">
      <totalsRowFormula>COUNTA(L8,L10,L12,L14,L16)</totalsRowFormula>
    </tableColumn>
    <tableColumn id="12" xr3:uid="{00000000-0010-0000-0800-00000C000000}" name="11" totalsRowFunction="custom" dataDxfId="307" totalsRowDxfId="308">
      <totalsRowFormula>COUNTA(M8,M10,M12,M14,M16)</totalsRowFormula>
    </tableColumn>
    <tableColumn id="13" xr3:uid="{00000000-0010-0000-0800-00000D000000}" name="12" totalsRowFunction="custom" dataDxfId="305" totalsRowDxfId="306">
      <totalsRowFormula>COUNTA(N8,N10,N12,N14,N16)</totalsRowFormula>
    </tableColumn>
    <tableColumn id="14" xr3:uid="{00000000-0010-0000-0800-00000E000000}" name="13" totalsRowFunction="custom" dataDxfId="303" totalsRowDxfId="304">
      <totalsRowFormula>COUNTA(O8,O10,O12,O14,O16)</totalsRowFormula>
    </tableColumn>
    <tableColumn id="15" xr3:uid="{00000000-0010-0000-0800-00000F000000}" name="14" totalsRowFunction="custom" dataDxfId="301" totalsRowDxfId="302">
      <totalsRowFormula>COUNTA(P8,P10,P12,P14,P16)</totalsRowFormula>
    </tableColumn>
    <tableColumn id="16" xr3:uid="{00000000-0010-0000-0800-000010000000}" name="15" totalsRowFunction="custom" dataDxfId="299" totalsRowDxfId="300">
      <totalsRowFormula>COUNTA(Q8,Q10,Q12,Q14,Q16)</totalsRowFormula>
    </tableColumn>
    <tableColumn id="17" xr3:uid="{00000000-0010-0000-0800-000011000000}" name="16" totalsRowFunction="custom" dataDxfId="297" totalsRowDxfId="298">
      <totalsRowFormula>COUNTA(R8,R10,R12,R14,R16)</totalsRowFormula>
    </tableColumn>
    <tableColumn id="18" xr3:uid="{00000000-0010-0000-0800-000012000000}" name="17" totalsRowFunction="custom" dataDxfId="295" totalsRowDxfId="296">
      <totalsRowFormula>COUNTA(S8,S10,S12,S14,S16)</totalsRowFormula>
    </tableColumn>
    <tableColumn id="19" xr3:uid="{00000000-0010-0000-0800-000013000000}" name="18" totalsRowFunction="custom" dataDxfId="293" totalsRowDxfId="294">
      <totalsRowFormula>COUNTA(T8,T10,T12,T14,T16)</totalsRowFormula>
    </tableColumn>
    <tableColumn id="20" xr3:uid="{00000000-0010-0000-0800-000014000000}" name="19" totalsRowFunction="custom" dataDxfId="291" totalsRowDxfId="292">
      <totalsRowFormula>COUNTA(U8,U10,U12,U14,U16)</totalsRowFormula>
    </tableColumn>
    <tableColumn id="21" xr3:uid="{00000000-0010-0000-0800-000015000000}" name="20" totalsRowFunction="custom" dataDxfId="289" totalsRowDxfId="290">
      <totalsRowFormula>COUNTA(V8,V10,V12,V14,V16)</totalsRowFormula>
    </tableColumn>
    <tableColumn id="22" xr3:uid="{00000000-0010-0000-0800-000016000000}" name="21" totalsRowFunction="custom" dataDxfId="287" totalsRowDxfId="288">
      <totalsRowFormula>COUNTA(W8,W10,W12,W14,W16)</totalsRowFormula>
    </tableColumn>
    <tableColumn id="23" xr3:uid="{00000000-0010-0000-0800-000017000000}" name="22" totalsRowFunction="custom" dataDxfId="285" totalsRowDxfId="286">
      <totalsRowFormula>COUNTA(X8,X10,X12,X14,X16)</totalsRowFormula>
    </tableColumn>
    <tableColumn id="24" xr3:uid="{00000000-0010-0000-0800-000018000000}" name="23" totalsRowFunction="custom" dataDxfId="283" totalsRowDxfId="284">
      <totalsRowFormula>COUNTA(Y8,Y10,Y12,Y14,Y16)</totalsRowFormula>
    </tableColumn>
    <tableColumn id="25" xr3:uid="{00000000-0010-0000-0800-000019000000}" name="24" totalsRowFunction="custom" dataDxfId="281" totalsRowDxfId="282">
      <totalsRowFormula>COUNTA(Z8,Z10,Z12,Z14,Z16)</totalsRowFormula>
    </tableColumn>
    <tableColumn id="26" xr3:uid="{00000000-0010-0000-0800-00001A000000}" name="25" totalsRowFunction="custom" dataDxfId="279" totalsRowDxfId="280">
      <totalsRowFormula>COUNTA(AA8,AA10,AA12,AA14,AA16)</totalsRowFormula>
    </tableColumn>
    <tableColumn id="27" xr3:uid="{00000000-0010-0000-0800-00001B000000}" name="26" totalsRowFunction="custom" dataDxfId="277" totalsRowDxfId="278">
      <totalsRowFormula>COUNTA(AB8,AB10,AB12,AB14,AB16)</totalsRowFormula>
    </tableColumn>
    <tableColumn id="28" xr3:uid="{00000000-0010-0000-0800-00001C000000}" name="27" totalsRowFunction="custom" dataDxfId="275" totalsRowDxfId="276">
      <totalsRowFormula>COUNTA(AC8,AC10,AC12,AC14,AC16)</totalsRowFormula>
    </tableColumn>
    <tableColumn id="29" xr3:uid="{00000000-0010-0000-0800-00001D000000}" name="28" totalsRowFunction="custom" dataDxfId="273" totalsRowDxfId="274">
      <totalsRowFormula>COUNTA(AD8,AD10,AD12,AD14,AD16)</totalsRowFormula>
    </tableColumn>
    <tableColumn id="30" xr3:uid="{00000000-0010-0000-0800-00001E000000}" name="29" totalsRowFunction="custom" dataDxfId="271" totalsRowDxfId="272">
      <totalsRowFormula>COUNTA(AE8,AE10,AE12,AE14,AE16)</totalsRowFormula>
    </tableColumn>
    <tableColumn id="31" xr3:uid="{00000000-0010-0000-0800-00001F000000}" name="30" totalsRowFunction="custom" dataDxfId="269" totalsRowDxfId="270">
      <totalsRowFormula>COUNTA(AF8,AF10,AF12,AF14,AF16)</totalsRowFormula>
    </tableColumn>
    <tableColumn id="33" xr3:uid="{00000000-0010-0000-0800-000021000000}" name="Total de dias" dataDxfId="267" totalsRowDxfId="268"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heme/theme1.xml><?xml version="1.0" encoding="utf-8"?>
<a:theme xmlns:a="http://schemas.openxmlformats.org/drawingml/2006/main" name="Office Theme">
  <a:themeElements>
    <a:clrScheme name="TM03987167">
      <a:dk1>
        <a:srgbClr val="000000"/>
      </a:dk1>
      <a:lt1>
        <a:srgbClr val="FFFFFF"/>
      </a:lt1>
      <a:dk2>
        <a:srgbClr val="44546A"/>
      </a:dk2>
      <a:lt2>
        <a:srgbClr val="E7E6E6"/>
      </a:lt2>
      <a:accent1>
        <a:srgbClr val="1F452F"/>
      </a:accent1>
      <a:accent2>
        <a:srgbClr val="709A97"/>
      </a:accent2>
      <a:accent3>
        <a:srgbClr val="1B417C"/>
      </a:accent3>
      <a:accent4>
        <a:srgbClr val="D8A141"/>
      </a:accent4>
      <a:accent5>
        <a:srgbClr val="CAAFF3"/>
      </a:accent5>
      <a:accent6>
        <a:srgbClr val="EF5C37"/>
      </a:accent6>
      <a:hlink>
        <a:srgbClr val="0563C1"/>
      </a:hlink>
      <a:folHlink>
        <a:srgbClr val="954F72"/>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M18"/>
  <sheetViews>
    <sheetView showGridLines="0" topLeftCell="A3" zoomScale="80" zoomScaleNormal="80" workbookViewId="0">
      <selection activeCell="AB18" sqref="AB18"/>
    </sheetView>
  </sheetViews>
  <sheetFormatPr defaultColWidth="8.7109375" defaultRowHeight="30" customHeight="1"/>
  <cols>
    <col min="1" max="1" width="2.7109375" customWidth="1"/>
    <col min="2" max="2" width="33.42578125" bestFit="1" customWidth="1"/>
    <col min="3" max="33" width="4.7109375" customWidth="1"/>
    <col min="34" max="34" width="14.85546875" customWidth="1"/>
    <col min="35" max="35" width="2.7109375" customWidth="1"/>
  </cols>
  <sheetData>
    <row r="1" spans="1:39" s="10" customFormat="1" ht="58.5" customHeight="1">
      <c r="A1"/>
      <c r="B1" s="81" t="s">
        <v>0</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9" s="10" customFormat="1" ht="15" customHeight="1">
      <c r="A2"/>
      <c r="B2" s="7"/>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9" ht="30" customHeight="1">
      <c r="B3" s="24" t="s">
        <v>1</v>
      </c>
      <c r="C3" s="18" t="s">
        <v>2</v>
      </c>
      <c r="D3" s="78" t="s">
        <v>3</v>
      </c>
      <c r="E3" s="78"/>
      <c r="G3" s="73"/>
      <c r="H3" s="78"/>
      <c r="I3" s="78"/>
      <c r="J3" s="78"/>
      <c r="K3" s="78"/>
      <c r="M3" s="17" t="s">
        <v>4</v>
      </c>
      <c r="N3" s="78" t="s">
        <v>5</v>
      </c>
      <c r="O3" s="78"/>
      <c r="P3" s="34"/>
      <c r="Q3" s="84"/>
      <c r="R3" s="84"/>
      <c r="S3" s="84"/>
      <c r="T3" s="84"/>
      <c r="U3" s="19"/>
      <c r="V3" s="84"/>
      <c r="W3" s="84"/>
      <c r="X3" s="84"/>
      <c r="Y3" s="84"/>
    </row>
    <row r="4" spans="1:39" ht="15" customHeight="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3"/>
    </row>
    <row r="5" spans="1:39" ht="23.25">
      <c r="B5" s="5"/>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5">
        <v>2026</v>
      </c>
    </row>
    <row r="6" spans="1:39" ht="30" customHeight="1">
      <c r="B6" s="5"/>
      <c r="C6" s="15" t="str">
        <f>TEXT(WEEKDAY(DATE(AnoCalendário,1,1),1),"ddd")</f>
        <v>qui</v>
      </c>
      <c r="D6" s="15" t="str">
        <f>TEXT(WEEKDAY(DATE(AnoCalendário,1,2),1),"ddd")</f>
        <v>sex</v>
      </c>
      <c r="E6" s="15" t="str">
        <f>TEXT(WEEKDAY(DATE(AnoCalendário,1,3),1),"ddd")</f>
        <v>sáb</v>
      </c>
      <c r="F6" s="15" t="str">
        <f>TEXT(WEEKDAY(DATE(AnoCalendário,1,4),1),"ddd")</f>
        <v>dom</v>
      </c>
      <c r="G6" s="15" t="str">
        <f>TEXT(WEEKDAY(DATE(AnoCalendário,1,5),1),"ddd")</f>
        <v>seg</v>
      </c>
      <c r="H6" s="15" t="str">
        <f>TEXT(WEEKDAY(DATE(AnoCalendário,1,6),1),"ddd")</f>
        <v>ter</v>
      </c>
      <c r="I6" s="15" t="str">
        <f>TEXT(WEEKDAY(DATE(AnoCalendário,1,7),1),"ddd")</f>
        <v>qua</v>
      </c>
      <c r="J6" s="15" t="str">
        <f>TEXT(WEEKDAY(DATE(AnoCalendário,1,8),1),"ddd")</f>
        <v>qui</v>
      </c>
      <c r="K6" s="15" t="str">
        <f>TEXT(WEEKDAY(DATE(AnoCalendário,1,9),1),"ddd")</f>
        <v>sex</v>
      </c>
      <c r="L6" s="15" t="str">
        <f>TEXT(WEEKDAY(DATE(AnoCalendário,1,10),1),"ddd")</f>
        <v>sáb</v>
      </c>
      <c r="M6" s="15" t="str">
        <f>TEXT(WEEKDAY(DATE(AnoCalendário,1,11),1),"ddd")</f>
        <v>dom</v>
      </c>
      <c r="N6" s="15" t="str">
        <f>TEXT(WEEKDAY(DATE(AnoCalendário,1,12),1),"ddd")</f>
        <v>seg</v>
      </c>
      <c r="O6" s="15" t="str">
        <f>TEXT(WEEKDAY(DATE(AnoCalendário,1,13),1),"ddd")</f>
        <v>ter</v>
      </c>
      <c r="P6" s="15" t="str">
        <f>TEXT(WEEKDAY(DATE(AnoCalendário,1,14),1),"ddd")</f>
        <v>qua</v>
      </c>
      <c r="Q6" s="15" t="str">
        <f>TEXT(WEEKDAY(DATE(AnoCalendário,1,15),1),"ddd")</f>
        <v>qui</v>
      </c>
      <c r="R6" s="15" t="str">
        <f>TEXT(WEEKDAY(DATE(AnoCalendário,1,16),1),"ddd")</f>
        <v>sex</v>
      </c>
      <c r="S6" s="15" t="str">
        <f>TEXT(WEEKDAY(DATE(AnoCalendário,1,17),1),"ddd")</f>
        <v>sáb</v>
      </c>
      <c r="T6" s="15" t="str">
        <f>TEXT(WEEKDAY(DATE(AnoCalendário,1,18),1),"ddd")</f>
        <v>dom</v>
      </c>
      <c r="U6" s="15" t="str">
        <f>TEXT(WEEKDAY(DATE(AnoCalendário,1,19),1),"ddd")</f>
        <v>seg</v>
      </c>
      <c r="V6" s="15" t="str">
        <f>TEXT(WEEKDAY(DATE(AnoCalendário,1,20),1),"ddd")</f>
        <v>ter</v>
      </c>
      <c r="W6" s="15" t="str">
        <f>TEXT(WEEKDAY(DATE(AnoCalendário,1,21),1),"ddd")</f>
        <v>qua</v>
      </c>
      <c r="X6" s="15" t="str">
        <f>TEXT(WEEKDAY(DATE(AnoCalendário,1,22),1),"ddd")</f>
        <v>qui</v>
      </c>
      <c r="Y6" s="15" t="str">
        <f>TEXT(WEEKDAY(DATE(AnoCalendário,1,23),1),"ddd")</f>
        <v>sex</v>
      </c>
      <c r="Z6" s="15" t="str">
        <f>TEXT(WEEKDAY(DATE(AnoCalendário,1,24),1),"ddd")</f>
        <v>sáb</v>
      </c>
      <c r="AA6" s="15" t="str">
        <f>TEXT(WEEKDAY(DATE(AnoCalendário,1,25),1),"ddd")</f>
        <v>dom</v>
      </c>
      <c r="AB6" s="15" t="str">
        <f>TEXT(WEEKDAY(DATE(AnoCalendário,1,26),1),"ddd")</f>
        <v>seg</v>
      </c>
      <c r="AC6" s="15" t="str">
        <f>TEXT(WEEKDAY(DATE(AnoCalendário,1,27),1),"ddd")</f>
        <v>ter</v>
      </c>
      <c r="AD6" s="15" t="str">
        <f>TEXT(WEEKDAY(DATE(AnoCalendário,1,28),1),"ddd")</f>
        <v>qua</v>
      </c>
      <c r="AE6" s="15" t="str">
        <f>TEXT(WEEKDAY(DATE(AnoCalendário,1,29),1),"ddd")</f>
        <v>qui</v>
      </c>
      <c r="AF6" s="15" t="str">
        <f>TEXT(WEEKDAY(DATE(AnoCalendário,1,30),1),"ddd")</f>
        <v>sex</v>
      </c>
      <c r="AG6" s="15" t="str">
        <f>TEXT(WEEKDAY(DATE(AnoCalendário,1,31),1),"ddd")</f>
        <v>sáb</v>
      </c>
      <c r="AH6" s="5"/>
    </row>
    <row r="7" spans="1:39"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c r="AJ7" s="33"/>
      <c r="AL7" s="82"/>
      <c r="AM7" s="82"/>
    </row>
    <row r="8" spans="1:39" ht="30" customHeight="1">
      <c r="B8" s="2" t="s">
        <v>39</v>
      </c>
      <c r="C8" s="21"/>
      <c r="D8" s="21"/>
      <c r="E8" s="22"/>
      <c r="F8" s="22"/>
      <c r="G8" s="22"/>
      <c r="H8" s="22"/>
      <c r="I8" s="21"/>
      <c r="J8" s="21"/>
      <c r="K8" s="21"/>
      <c r="L8" s="21"/>
      <c r="M8" s="21"/>
      <c r="N8" s="21"/>
      <c r="O8" s="21"/>
      <c r="P8" s="21"/>
      <c r="Q8" s="21"/>
      <c r="R8" s="21" t="s">
        <v>2</v>
      </c>
      <c r="S8" s="21" t="s">
        <v>2</v>
      </c>
      <c r="T8" s="21" t="s">
        <v>2</v>
      </c>
      <c r="U8" s="21" t="s">
        <v>2</v>
      </c>
      <c r="V8" s="21" t="s">
        <v>2</v>
      </c>
      <c r="W8" s="21" t="s">
        <v>2</v>
      </c>
      <c r="X8" s="21" t="s">
        <v>2</v>
      </c>
      <c r="Y8" s="21" t="s">
        <v>2</v>
      </c>
      <c r="Z8" s="21" t="s">
        <v>2</v>
      </c>
      <c r="AA8" s="21" t="s">
        <v>2</v>
      </c>
      <c r="AB8" s="21" t="s">
        <v>2</v>
      </c>
      <c r="AC8" s="21" t="s">
        <v>2</v>
      </c>
      <c r="AD8" s="21" t="s">
        <v>2</v>
      </c>
      <c r="AE8" s="21" t="s">
        <v>2</v>
      </c>
      <c r="AF8" s="21" t="s">
        <v>2</v>
      </c>
      <c r="AG8" s="21"/>
      <c r="AH8" s="3">
        <f>COUNTA(Janeiro!$C8:$AG8)</f>
        <v>15</v>
      </c>
      <c r="AJ8" s="26"/>
      <c r="AK8" s="25"/>
      <c r="AL8" s="25"/>
      <c r="AM8" s="25"/>
    </row>
    <row r="9" spans="1:39" ht="30" customHeight="1">
      <c r="B9" s="2"/>
      <c r="C9" s="40"/>
      <c r="D9" s="40"/>
      <c r="E9" s="39"/>
      <c r="F9" s="39"/>
      <c r="G9" s="39"/>
      <c r="H9" s="39"/>
      <c r="I9" s="39"/>
      <c r="J9" s="39"/>
      <c r="K9" s="39"/>
      <c r="L9" s="39"/>
      <c r="M9" s="39"/>
      <c r="N9" s="39"/>
      <c r="O9" s="39"/>
      <c r="P9" s="39"/>
      <c r="Q9" s="39"/>
      <c r="R9" s="40" t="s">
        <v>40</v>
      </c>
      <c r="S9" s="23"/>
      <c r="T9" s="23"/>
      <c r="U9" s="23"/>
      <c r="V9" s="23"/>
      <c r="W9" s="23"/>
      <c r="X9" s="23"/>
      <c r="Y9" s="23"/>
      <c r="Z9" s="23"/>
      <c r="AA9" s="23"/>
      <c r="AB9" s="23"/>
      <c r="AC9" s="23"/>
      <c r="AD9" s="23"/>
      <c r="AE9" s="23"/>
      <c r="AF9" s="23"/>
      <c r="AG9" s="23"/>
      <c r="AH9" s="3"/>
      <c r="AJ9" s="25"/>
      <c r="AK9" s="25"/>
      <c r="AL9" s="25"/>
      <c r="AM9" s="25"/>
    </row>
    <row r="10" spans="1:39" ht="30" customHeight="1">
      <c r="B10" s="2" t="s">
        <v>41</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3">
        <f>COUNTA(Janeiro!$C10:$AG10)</f>
        <v>0</v>
      </c>
      <c r="AJ10" s="25"/>
      <c r="AK10" s="25"/>
      <c r="AL10" s="25"/>
      <c r="AM10" s="25"/>
    </row>
    <row r="11" spans="1:39" ht="30" customHeight="1">
      <c r="B11" s="2"/>
      <c r="C11" s="40"/>
      <c r="D11" s="23"/>
      <c r="E11" s="23"/>
      <c r="F11" s="23"/>
      <c r="G11" s="23"/>
      <c r="H11" s="23"/>
      <c r="I11" s="23"/>
      <c r="J11" s="23"/>
      <c r="K11" s="23"/>
      <c r="L11" s="23"/>
      <c r="M11" s="23"/>
      <c r="N11" s="23"/>
      <c r="O11" s="23"/>
      <c r="P11" s="23"/>
      <c r="Q11" s="23"/>
      <c r="R11" s="59"/>
      <c r="S11" s="23"/>
      <c r="T11" s="23"/>
      <c r="U11" s="40"/>
      <c r="V11" s="23"/>
      <c r="W11" s="23"/>
      <c r="X11" s="40"/>
      <c r="Y11" s="23"/>
      <c r="Z11" s="23"/>
      <c r="AA11" s="40"/>
      <c r="AB11" s="23"/>
      <c r="AC11" s="23"/>
      <c r="AD11" s="23"/>
      <c r="AE11" s="23"/>
      <c r="AF11" s="23"/>
      <c r="AG11" s="23"/>
      <c r="AH11" s="3"/>
      <c r="AJ11" s="25"/>
      <c r="AK11" s="25"/>
      <c r="AL11" s="25"/>
      <c r="AM11" s="25"/>
    </row>
    <row r="12" spans="1:39" ht="30" customHeight="1">
      <c r="B12" s="2" t="s">
        <v>42</v>
      </c>
      <c r="C12" s="21" t="s">
        <v>2</v>
      </c>
      <c r="D12" s="21" t="s">
        <v>2</v>
      </c>
      <c r="E12" s="21" t="s">
        <v>2</v>
      </c>
      <c r="F12" s="21" t="s">
        <v>2</v>
      </c>
      <c r="G12" s="21" t="s">
        <v>2</v>
      </c>
      <c r="H12" s="21" t="s">
        <v>2</v>
      </c>
      <c r="I12" s="21" t="s">
        <v>2</v>
      </c>
      <c r="J12" s="21" t="s">
        <v>2</v>
      </c>
      <c r="K12" s="21" t="s">
        <v>2</v>
      </c>
      <c r="L12" s="21" t="s">
        <v>2</v>
      </c>
      <c r="M12" s="21" t="s">
        <v>2</v>
      </c>
      <c r="N12" s="21" t="s">
        <v>2</v>
      </c>
      <c r="O12" s="21" t="s">
        <v>2</v>
      </c>
      <c r="P12" s="21" t="s">
        <v>2</v>
      </c>
      <c r="Q12" s="21" t="s">
        <v>2</v>
      </c>
      <c r="R12" s="21" t="s">
        <v>2</v>
      </c>
      <c r="S12" s="21" t="s">
        <v>2</v>
      </c>
      <c r="T12" s="21" t="s">
        <v>2</v>
      </c>
      <c r="U12" s="21" t="s">
        <v>2</v>
      </c>
      <c r="V12" s="21" t="s">
        <v>2</v>
      </c>
      <c r="W12" s="21" t="s">
        <v>2</v>
      </c>
      <c r="X12" s="21" t="s">
        <v>2</v>
      </c>
      <c r="Y12" s="21" t="s">
        <v>2</v>
      </c>
      <c r="Z12" s="21" t="s">
        <v>2</v>
      </c>
      <c r="AA12" s="21" t="s">
        <v>2</v>
      </c>
      <c r="AB12" s="21" t="s">
        <v>2</v>
      </c>
      <c r="AC12" s="21"/>
      <c r="AD12" s="21"/>
      <c r="AE12" s="21"/>
      <c r="AF12" s="21"/>
      <c r="AG12" s="21"/>
      <c r="AH12" s="3">
        <f>COUNTA(Janeiro!$C12:$AG12)</f>
        <v>26</v>
      </c>
      <c r="AJ12" s="25"/>
      <c r="AK12" s="25"/>
      <c r="AL12" s="25"/>
      <c r="AM12" s="25"/>
    </row>
    <row r="13" spans="1:39" ht="30" customHeight="1">
      <c r="B13" s="2"/>
      <c r="C13" s="40" t="s">
        <v>43</v>
      </c>
      <c r="D13" s="23"/>
      <c r="E13" s="23"/>
      <c r="F13" s="23"/>
      <c r="G13" s="23"/>
      <c r="H13" s="23"/>
      <c r="I13" s="23"/>
      <c r="J13" s="23"/>
      <c r="K13" s="23"/>
      <c r="L13" s="23"/>
      <c r="M13" s="23"/>
      <c r="N13" s="23"/>
      <c r="O13" s="23"/>
      <c r="P13" s="23"/>
      <c r="Q13" s="23"/>
      <c r="R13" s="23"/>
      <c r="S13" s="23"/>
      <c r="T13" s="40"/>
      <c r="U13" s="23"/>
      <c r="V13" s="23"/>
      <c r="W13" s="23"/>
      <c r="X13" s="23"/>
      <c r="Y13" s="23"/>
      <c r="Z13" s="23"/>
      <c r="AA13" s="23"/>
      <c r="AB13" s="23"/>
      <c r="AC13" s="23"/>
      <c r="AD13" s="23"/>
      <c r="AE13" s="23"/>
      <c r="AF13" s="23"/>
      <c r="AG13" s="23"/>
      <c r="AH13" s="3"/>
      <c r="AJ13" s="25"/>
      <c r="AK13" s="25"/>
      <c r="AL13" s="25"/>
      <c r="AM13" s="25"/>
    </row>
    <row r="14" spans="1:39" ht="30" customHeight="1">
      <c r="B14" s="2" t="s">
        <v>44</v>
      </c>
      <c r="C14" s="21"/>
      <c r="D14" s="21"/>
      <c r="E14" s="21"/>
      <c r="F14" s="21"/>
      <c r="G14" s="21" t="s">
        <v>2</v>
      </c>
      <c r="H14" s="21" t="s">
        <v>2</v>
      </c>
      <c r="I14" s="21" t="s">
        <v>2</v>
      </c>
      <c r="J14" s="21" t="s">
        <v>2</v>
      </c>
      <c r="K14" s="21" t="s">
        <v>2</v>
      </c>
      <c r="L14" s="21" t="s">
        <v>2</v>
      </c>
      <c r="M14" s="21" t="s">
        <v>2</v>
      </c>
      <c r="N14" s="21" t="s">
        <v>2</v>
      </c>
      <c r="O14" s="21" t="s">
        <v>2</v>
      </c>
      <c r="P14" s="21" t="s">
        <v>2</v>
      </c>
      <c r="Q14" s="21" t="s">
        <v>2</v>
      </c>
      <c r="R14" s="21" t="s">
        <v>2</v>
      </c>
      <c r="S14" s="21"/>
      <c r="T14" s="21"/>
      <c r="U14" s="21"/>
      <c r="V14" s="21"/>
      <c r="W14" s="21"/>
      <c r="X14" s="21"/>
      <c r="Y14" s="21"/>
      <c r="Z14" s="21"/>
      <c r="AA14" s="21"/>
      <c r="AB14" s="21"/>
      <c r="AC14" s="21"/>
      <c r="AD14" s="21"/>
      <c r="AE14" s="21"/>
      <c r="AF14" s="21"/>
      <c r="AG14" s="21"/>
      <c r="AH14" s="3">
        <f>COUNTA(Janeiro!$C14:$AG14)</f>
        <v>12</v>
      </c>
      <c r="AJ14" s="25"/>
      <c r="AK14" s="25"/>
      <c r="AL14" s="25"/>
      <c r="AM14" s="25"/>
    </row>
    <row r="15" spans="1:39" ht="30" customHeight="1">
      <c r="B15" s="2"/>
      <c r="C15" s="23"/>
      <c r="D15" s="23"/>
      <c r="E15" s="23"/>
      <c r="F15" s="23"/>
      <c r="G15" s="40" t="s">
        <v>45</v>
      </c>
      <c r="H15" s="23"/>
      <c r="I15" s="23"/>
      <c r="J15" s="40"/>
      <c r="K15" s="23"/>
      <c r="L15" s="23"/>
      <c r="M15" s="23"/>
      <c r="N15" s="23"/>
      <c r="O15" s="23"/>
      <c r="P15" s="23"/>
      <c r="Q15" s="40"/>
      <c r="R15" s="23"/>
      <c r="S15" s="23"/>
      <c r="T15" s="23"/>
      <c r="U15" s="23"/>
      <c r="V15" s="23"/>
      <c r="W15" s="40"/>
      <c r="X15" s="23"/>
      <c r="Y15" s="23"/>
      <c r="Z15" s="40"/>
      <c r="AA15" s="23"/>
      <c r="AB15" s="23"/>
      <c r="AC15" s="23"/>
      <c r="AD15" s="23"/>
      <c r="AE15" s="23"/>
      <c r="AF15" s="23"/>
      <c r="AG15" s="23"/>
      <c r="AH15" s="3"/>
      <c r="AJ15" s="25"/>
      <c r="AK15" s="25"/>
      <c r="AL15" s="25"/>
      <c r="AM15" s="25"/>
    </row>
    <row r="16" spans="1:39" ht="30" customHeight="1">
      <c r="B16" s="2" t="s">
        <v>46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t="s">
        <v>2</v>
      </c>
      <c r="AC16" s="21" t="s">
        <v>2</v>
      </c>
      <c r="AD16" s="21" t="s">
        <v>2</v>
      </c>
      <c r="AE16" s="21" t="s">
        <v>2</v>
      </c>
      <c r="AF16" s="21" t="s">
        <v>2</v>
      </c>
      <c r="AG16" s="21" t="s">
        <v>2</v>
      </c>
      <c r="AH16" s="3">
        <f>COUNTA(Janeiro!$C16:$AG16)</f>
        <v>6</v>
      </c>
      <c r="AJ16" s="25"/>
      <c r="AK16" s="25"/>
      <c r="AL16" s="25"/>
      <c r="AM16" s="25"/>
    </row>
    <row r="17" spans="2:39" ht="30" customHeight="1">
      <c r="B17" s="2"/>
      <c r="C17" s="40"/>
      <c r="D17" s="23"/>
      <c r="E17" s="23"/>
      <c r="F17" s="23"/>
      <c r="G17" s="23"/>
      <c r="H17" s="23"/>
      <c r="I17" s="23"/>
      <c r="J17" s="23"/>
      <c r="K17" s="23"/>
      <c r="L17" s="23"/>
      <c r="M17" s="23"/>
      <c r="N17" s="23"/>
      <c r="O17" s="23"/>
      <c r="P17" s="23"/>
      <c r="Q17" s="23"/>
      <c r="R17" s="23"/>
      <c r="S17" s="23"/>
      <c r="T17" s="23"/>
      <c r="U17" s="23"/>
      <c r="V17" s="23"/>
      <c r="W17" s="23"/>
      <c r="X17" s="23"/>
      <c r="Y17" s="23"/>
      <c r="Z17" s="23"/>
      <c r="AA17" s="23"/>
      <c r="AB17" s="23" t="s">
        <v>47</v>
      </c>
      <c r="AC17" s="23"/>
      <c r="AD17" s="23"/>
      <c r="AE17" s="23"/>
      <c r="AF17" s="23"/>
      <c r="AG17" s="23"/>
      <c r="AH17" s="3"/>
      <c r="AJ17" s="25"/>
      <c r="AK17" s="25"/>
      <c r="AL17" s="25"/>
      <c r="AM17" s="25"/>
    </row>
    <row r="18" spans="2:39" ht="30" customHeight="1">
      <c r="B18" s="1" t="s">
        <v>48</v>
      </c>
      <c r="C18" s="4">
        <f>COUNTA(C8,C10,C12,C14,C16)</f>
        <v>1</v>
      </c>
      <c r="D18" s="4">
        <f>COUNTA(D8,D10,D12,D14,D16)</f>
        <v>1</v>
      </c>
      <c r="E18" s="4">
        <f t="shared" ref="E18:AG18" si="0">COUNTA(E8,E10,E12,E14,E16)</f>
        <v>1</v>
      </c>
      <c r="F18" s="4">
        <f t="shared" si="0"/>
        <v>1</v>
      </c>
      <c r="G18" s="4">
        <f t="shared" si="0"/>
        <v>2</v>
      </c>
      <c r="H18" s="4">
        <f t="shared" si="0"/>
        <v>2</v>
      </c>
      <c r="I18" s="4">
        <f t="shared" si="0"/>
        <v>2</v>
      </c>
      <c r="J18" s="4">
        <f t="shared" si="0"/>
        <v>2</v>
      </c>
      <c r="K18" s="4">
        <f t="shared" si="0"/>
        <v>2</v>
      </c>
      <c r="L18" s="4">
        <f t="shared" si="0"/>
        <v>2</v>
      </c>
      <c r="M18" s="4">
        <f t="shared" si="0"/>
        <v>2</v>
      </c>
      <c r="N18" s="4">
        <f t="shared" si="0"/>
        <v>2</v>
      </c>
      <c r="O18" s="4">
        <f t="shared" si="0"/>
        <v>2</v>
      </c>
      <c r="P18" s="4">
        <f t="shared" si="0"/>
        <v>2</v>
      </c>
      <c r="Q18" s="4">
        <f t="shared" si="0"/>
        <v>2</v>
      </c>
      <c r="R18" s="4">
        <f t="shared" si="0"/>
        <v>3</v>
      </c>
      <c r="S18" s="4">
        <f t="shared" si="0"/>
        <v>2</v>
      </c>
      <c r="T18" s="4">
        <f t="shared" si="0"/>
        <v>2</v>
      </c>
      <c r="U18" s="4">
        <f t="shared" si="0"/>
        <v>2</v>
      </c>
      <c r="V18" s="4">
        <f t="shared" si="0"/>
        <v>2</v>
      </c>
      <c r="W18" s="4">
        <f t="shared" si="0"/>
        <v>2</v>
      </c>
      <c r="X18" s="4">
        <f t="shared" si="0"/>
        <v>2</v>
      </c>
      <c r="Y18" s="4">
        <f t="shared" si="0"/>
        <v>2</v>
      </c>
      <c r="Z18" s="4">
        <f t="shared" si="0"/>
        <v>2</v>
      </c>
      <c r="AA18" s="4">
        <f t="shared" si="0"/>
        <v>2</v>
      </c>
      <c r="AB18" s="4">
        <f t="shared" si="0"/>
        <v>3</v>
      </c>
      <c r="AC18" s="4">
        <f t="shared" si="0"/>
        <v>2</v>
      </c>
      <c r="AD18" s="4">
        <f t="shared" si="0"/>
        <v>2</v>
      </c>
      <c r="AE18" s="4">
        <f t="shared" si="0"/>
        <v>2</v>
      </c>
      <c r="AF18" s="4">
        <f t="shared" si="0"/>
        <v>2</v>
      </c>
      <c r="AG18" s="4">
        <f t="shared" si="0"/>
        <v>1</v>
      </c>
      <c r="AH18" s="4"/>
      <c r="AJ18" s="25"/>
      <c r="AK18" s="25"/>
      <c r="AL18" s="25"/>
      <c r="AM18" s="25"/>
    </row>
  </sheetData>
  <mergeCells count="8">
    <mergeCell ref="B1:AH1"/>
    <mergeCell ref="AL7:AM7"/>
    <mergeCell ref="C5:AG5"/>
    <mergeCell ref="Q3:T3"/>
    <mergeCell ref="V3:Y3"/>
    <mergeCell ref="D3:E3"/>
    <mergeCell ref="H3:K3"/>
    <mergeCell ref="N3:O3"/>
  </mergeCells>
  <phoneticPr fontId="26" type="noConversion"/>
  <conditionalFormatting sqref="C8:AG17">
    <cfRule type="cellIs" dxfId="1142" priority="6" operator="equal">
      <formula>"L"</formula>
    </cfRule>
    <cfRule type="cellIs" dxfId="1141" priority="7" operator="equal">
      <formula>"A"</formula>
    </cfRule>
    <cfRule type="cellIs" dxfId="1140" priority="8" operator="equal">
      <formula>"A"</formula>
    </cfRule>
    <cfRule type="cellIs" dxfId="1139" priority="10" operator="equal">
      <formula>"A"</formula>
    </cfRule>
    <cfRule type="expression" priority="13" stopIfTrue="1">
      <formula>C8=""</formula>
    </cfRule>
    <cfRule type="expression" dxfId="1138" priority="18" stopIfTrue="1">
      <formula>C8=ChavePersonalizada2</formula>
    </cfRule>
    <cfRule type="expression" dxfId="1137" priority="19" stopIfTrue="1">
      <formula>C8=ChavePersonalizada1</formula>
    </cfRule>
    <cfRule type="expression" dxfId="1136" priority="20" stopIfTrue="1">
      <formula>C8=ChaveLicençaMédica</formula>
    </cfRule>
    <cfRule type="expression" dxfId="1135" priority="21" stopIfTrue="1">
      <formula>C8=ChavePessoal</formula>
    </cfRule>
    <cfRule type="expression" dxfId="1134" priority="22" stopIfTrue="1">
      <formula>C8=ChaveFérias</formula>
    </cfRule>
  </conditionalFormatting>
  <conditionalFormatting sqref="AA8">
    <cfRule type="cellIs" dxfId="1133" priority="9" operator="equal">
      <formula>"A"</formula>
    </cfRule>
  </conditionalFormatting>
  <conditionalFormatting sqref="AH8">
    <cfRule type="dataBar" priority="3">
      <dataBar>
        <cfvo type="min"/>
        <cfvo type="formula" val="DATEDIF(DATE(AnoCalendário,2,1),DATE(AnoCalendário,3,1),&quot;d&quot;)"/>
        <color theme="2" tint="-0.249977111117893"/>
      </dataBar>
      <extLst>
        <ext xmlns:x14="http://schemas.microsoft.com/office/spreadsheetml/2009/9/main" uri="{B025F937-C7B1-47D3-B67F-A62EFF666E3E}">
          <x14:id>{130374DD-DD23-4261-A4E9-B47B06F21156}</x14:id>
        </ext>
      </extLst>
    </cfRule>
  </conditionalFormatting>
  <conditionalFormatting sqref="AH9 AH11 AH15 AH13 AH17">
    <cfRule type="dataBar" priority="180">
      <dataBar>
        <cfvo type="num" val="0"/>
        <cfvo type="num" val="31"/>
        <color theme="4"/>
      </dataBar>
      <extLst>
        <ext xmlns:x14="http://schemas.microsoft.com/office/spreadsheetml/2009/9/main" uri="{B025F937-C7B1-47D3-B67F-A62EFF666E3E}">
          <x14:id>{ECCE2C3C-1B01-4700-B60E-DAAAB19A9C1A}</x14:id>
        </ext>
      </extLst>
    </cfRule>
  </conditionalFormatting>
  <conditionalFormatting sqref="AH10">
    <cfRule type="dataBar" priority="5">
      <dataBar>
        <cfvo type="min"/>
        <cfvo type="formula" val="DATEDIF(DATE(AnoCalendário,2,1),DATE(AnoCalendário,3,1),&quot;d&quot;)"/>
        <color theme="2" tint="-0.249977111117893"/>
      </dataBar>
      <extLst>
        <ext xmlns:x14="http://schemas.microsoft.com/office/spreadsheetml/2009/9/main" uri="{B025F937-C7B1-47D3-B67F-A62EFF666E3E}">
          <x14:id>{B01798A2-5E5C-4E0B-9173-85A17958CE1F}</x14:id>
        </ext>
      </extLst>
    </cfRule>
  </conditionalFormatting>
  <conditionalFormatting sqref="AH12">
    <cfRule type="dataBar" priority="2">
      <dataBar>
        <cfvo type="min"/>
        <cfvo type="formula" val="DATEDIF(DATE(AnoCalendário,2,1),DATE(AnoCalendário,3,1),&quot;d&quot;)"/>
        <color theme="2" tint="-0.249977111117893"/>
      </dataBar>
      <extLst>
        <ext xmlns:x14="http://schemas.microsoft.com/office/spreadsheetml/2009/9/main" uri="{B025F937-C7B1-47D3-B67F-A62EFF666E3E}">
          <x14:id>{8013CBF7-F235-4568-9FF9-CB0D5F8F0AAF}</x14:id>
        </ext>
      </extLst>
    </cfRule>
  </conditionalFormatting>
  <conditionalFormatting sqref="AH14">
    <cfRule type="dataBar" priority="4">
      <dataBar>
        <cfvo type="min"/>
        <cfvo type="formula" val="DATEDIF(DATE(AnoCalendário,2,1),DATE(AnoCalendário,3,1),&quot;d&quot;)"/>
        <color theme="2" tint="-0.249977111117893"/>
      </dataBar>
      <extLst>
        <ext xmlns:x14="http://schemas.microsoft.com/office/spreadsheetml/2009/9/main" uri="{B025F937-C7B1-47D3-B67F-A62EFF666E3E}">
          <x14:id>{F03364DD-4F86-488E-B048-8F0366FF1D4C}</x14:id>
        </ext>
      </extLst>
    </cfRule>
  </conditionalFormatting>
  <conditionalFormatting sqref="AH16">
    <cfRule type="dataBar" priority="1">
      <dataBar>
        <cfvo type="min"/>
        <cfvo type="formula" val="DATEDIF(DATE(AnoCalendário,2,1),DATE(AnoCalendário,3,1),&quot;d&quot;)"/>
        <color theme="2" tint="-0.249977111117893"/>
      </dataBar>
      <extLst>
        <ext xmlns:x14="http://schemas.microsoft.com/office/spreadsheetml/2009/9/main" uri="{B025F937-C7B1-47D3-B67F-A62EFF666E3E}">
          <x14:id>{2CC6B86E-F797-4FCE-A73A-B73AF044460E}</x14:id>
        </ext>
      </extLst>
    </cfRule>
  </conditionalFormatting>
  <dataValidations xWindow="1562" yWindow="327" count="14">
    <dataValidation allowBlank="1" showInputMessage="1" showErrorMessage="1" prompt="Os dias do mês nesta linha são gerados automaticamente. Insira a falta e o tipo de falta de um funcionário em cada coluna de cada dia do mês. Espaço vazio significa sem faltas." sqref="C7" xr:uid="{FAB55708-481E-2E48-9F66-3C8E8545F6B0}"/>
    <dataValidation allowBlank="1" showInputMessage="1" showErrorMessage="1" prompt="A letra &quot;F&quot; indica falta devido a férias." sqref="C3" xr:uid="{826E8EB1-D998-4C6F-8976-A54738AB62EF}"/>
    <dataValidation allowBlank="1" showInputMessage="1" showErrorMessage="1" prompt="A letra &quot;P&quot; indica falta devido a motivos pessoais." sqref="G3" xr:uid="{08DD1447-34FA-421D-828E-ECEA57FBC181}"/>
    <dataValidation allowBlank="1" showInputMessage="1" showErrorMessage="1" prompt="A letra &quot;L&quot; indica falta devido à licença médica." sqref="M3" xr:uid="{50D45ECC-3A8F-48C7-867B-E39D632C1574}"/>
    <dataValidation allowBlank="1" showInputMessage="1" showErrorMessage="1" prompt="Insira uma letra e personalize o rótulo à direita para adicionar outro item de chave." sqref="U3" xr:uid="{FEABEF84-83D3-7D42-BA7C-926AE09CBA1E}"/>
    <dataValidation allowBlank="1" showInputMessage="1" showErrorMessage="1" prompt="Digite um rótulo para descrever a chave personalizada à esquerda." sqref="V3 Q3" xr:uid="{12884A59-5F75-0848-A6CD-363E691B1D2A}"/>
    <dataValidation allowBlank="1" showInputMessage="1" showErrorMessage="1" prompt="Insira o ano na célula abaixo." sqref="AH4" xr:uid="{00000000-0002-0000-0000-00000E000000}"/>
    <dataValidation allowBlank="1" showInputMessage="1" showErrorMessage="1" prompt="O nome do mês para essa agenda de faltas está nesta célula. Os totais de faltas deste mês estão na última célula da tabela. Selecione os nomes dos funcionários na tabela B." sqref="B1" xr:uid="{DF4494D1-42F6-BB47-AFAB-18021A3441AC}"/>
    <dataValidation allowBlank="1" showInputMessage="1" showErrorMessage="1" prompt="O título atualizado automaticamente está nesta célula. Para modificar o título, atualize B1 na planilha Janeiro." sqref="B1" xr:uid="{20FFCBA6-5698-4E4B-9E75-1B2FD678A862}"/>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FE3C1916-A13B-EF44-83B6-EF87C12834B2}"/>
    <dataValidation allowBlank="1" showInputMessage="1" showErrorMessage="1" prompt="Calcula automaticamente o número total de dias que um funcionário esteve ausente neste mês nesta coluna" sqref="AH7" xr:uid="{17D68424-3ED0-774F-A440-37779B4905D7}"/>
    <dataValidation allowBlank="1" showInputMessage="1" showErrorMessage="1" prompt="Insira o ano nesta célula." sqref="AH5" xr:uid="{00000000-0002-0000-0000-000000000000}"/>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F6CAA384-C773-F044-845D-980CB65F95B2}"/>
    <dataValidation allowBlank="1" showInputMessage="1" showErrorMessage="1" prompt="Esta linha define as chaves utilizadas na tabela: a célula C4 é Férias, G4 é Pessoal e K4 é Licença médica. As células N4 e R4 são personalizáveis " sqref="B3" xr:uid="{254C5299-B8DC-4E28-AD10-F93B45AED253}"/>
  </dataValidations>
  <pageMargins left="0.7" right="0.7" top="0.75" bottom="0.75" header="0.3" footer="0.3"/>
  <pageSetup paperSize="9"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30374DD-DD23-4261-A4E9-B47B06F21156}">
            <x14:dataBar minLength="0" maxLength="100">
              <x14:cfvo type="autoMin"/>
              <x14:cfvo type="formula">
                <xm:f>DATEDIF(DATE(AnoCalendário,2,1),DATE(AnoCalendário,3,1),"d")</xm:f>
              </x14:cfvo>
              <x14:negativeFillColor rgb="FFFF0000"/>
              <x14:axisColor rgb="FF000000"/>
            </x14:dataBar>
          </x14:cfRule>
          <xm:sqref>AH8</xm:sqref>
        </x14:conditionalFormatting>
        <x14:conditionalFormatting xmlns:xm="http://schemas.microsoft.com/office/excel/2006/main">
          <x14:cfRule type="dataBar" id="{ECCE2C3C-1B01-4700-B60E-DAAAB19A9C1A}">
            <x14:dataBar minLength="0" maxLength="100" gradient="0">
              <x14:cfvo type="num">
                <xm:f>0</xm:f>
              </x14:cfvo>
              <x14:cfvo type="num">
                <xm:f>31</xm:f>
              </x14:cfvo>
              <x14:negativeFillColor rgb="FFFF0000"/>
              <x14:axisColor rgb="FF000000"/>
            </x14:dataBar>
          </x14:cfRule>
          <xm:sqref>AH9 AH11 AH15 AH13 AH17</xm:sqref>
        </x14:conditionalFormatting>
        <x14:conditionalFormatting xmlns:xm="http://schemas.microsoft.com/office/excel/2006/main">
          <x14:cfRule type="dataBar" id="{B01798A2-5E5C-4E0B-9173-85A17958CE1F}">
            <x14:dataBar minLength="0" maxLength="100">
              <x14:cfvo type="autoMin"/>
              <x14:cfvo type="formula">
                <xm:f>DATEDIF(DATE(AnoCalendário,2,1),DATE(AnoCalendário,3,1),"d")</xm:f>
              </x14:cfvo>
              <x14:negativeFillColor rgb="FFFF0000"/>
              <x14:axisColor rgb="FF000000"/>
            </x14:dataBar>
          </x14:cfRule>
          <xm:sqref>AH10</xm:sqref>
        </x14:conditionalFormatting>
        <x14:conditionalFormatting xmlns:xm="http://schemas.microsoft.com/office/excel/2006/main">
          <x14:cfRule type="dataBar" id="{8013CBF7-F235-4568-9FF9-CB0D5F8F0AAF}">
            <x14:dataBar minLength="0" maxLength="100">
              <x14:cfvo type="autoMin"/>
              <x14:cfvo type="formula">
                <xm:f>DATEDIF(DATE(AnoCalendário,2,1),DATE(AnoCalendário,3,1),"d")</xm:f>
              </x14:cfvo>
              <x14:negativeFillColor rgb="FFFF0000"/>
              <x14:axisColor rgb="FF000000"/>
            </x14:dataBar>
          </x14:cfRule>
          <xm:sqref>AH12</xm:sqref>
        </x14:conditionalFormatting>
        <x14:conditionalFormatting xmlns:xm="http://schemas.microsoft.com/office/excel/2006/main">
          <x14:cfRule type="dataBar" id="{F03364DD-4F86-488E-B048-8F0366FF1D4C}">
            <x14:dataBar minLength="0" maxLength="100">
              <x14:cfvo type="autoMin"/>
              <x14:cfvo type="formula">
                <xm:f>DATEDIF(DATE(AnoCalendário,2,1),DATE(AnoCalendário,3,1),"d")</xm:f>
              </x14:cfvo>
              <x14:negativeFillColor rgb="FFFF0000"/>
              <x14:axisColor rgb="FF000000"/>
            </x14:dataBar>
          </x14:cfRule>
          <xm:sqref>AH14</xm:sqref>
        </x14:conditionalFormatting>
        <x14:conditionalFormatting xmlns:xm="http://schemas.microsoft.com/office/excel/2006/main">
          <x14:cfRule type="dataBar" id="{2CC6B86E-F797-4FCE-A73A-B73AF044460E}">
            <x14:dataBar minLength="0" maxLength="100">
              <x14:cfvo type="autoMin"/>
              <x14:cfvo type="formula">
                <xm:f>DATEDIF(DATE(AnoCalendário,2,1),DATE(AnoCalendário,3,1),"d")</xm:f>
              </x14:cfvo>
              <x14:negativeFillColor rgb="FFFF0000"/>
              <x14:axisColor rgb="FF000000"/>
            </x14:dataBar>
          </x14:cfRule>
          <xm:sqref>AH16</xm:sqref>
        </x14:conditionalFormatting>
      </x14:conditionalFormattings>
    </ext>
    <ext xmlns:x14="http://schemas.microsoft.com/office/spreadsheetml/2009/9/main" uri="{CCE6A557-97BC-4b89-ADB6-D9C93CAAB3DF}">
      <x14:dataValidations xmlns:xm="http://schemas.microsoft.com/office/excel/2006/main" xWindow="1562" yWindow="327" count="1">
        <x14:dataValidation type="list" allowBlank="1" showInputMessage="1" showErrorMessage="1" xr:uid="{00000000-0002-0000-0000-00000F000000}">
          <x14:formula1>
            <xm:f>Diretores!$B$3:$B$7</xm:f>
          </x14:formula1>
          <xm:sqref>B8:B17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B1:AH18"/>
  <sheetViews>
    <sheetView showGridLines="0" topLeftCell="A7" zoomScale="112" zoomScaleNormal="112" workbookViewId="0">
      <selection activeCell="B14" sqref="B14"/>
    </sheetView>
  </sheetViews>
  <sheetFormatPr defaultColWidth="8.7109375" defaultRowHeight="30" customHeight="1"/>
  <cols>
    <col min="1" max="1" width="2.7109375" customWidth="1"/>
    <col min="2" max="2" width="33.42578125" bestFit="1" customWidth="1"/>
    <col min="3" max="33" width="4.7109375" customWidth="1"/>
    <col min="34" max="34" width="14.85546875" customWidth="1"/>
    <col min="35" max="35" width="2.7109375" customWidth="1"/>
  </cols>
  <sheetData>
    <row r="1" spans="2:34" ht="61.5">
      <c r="B1" s="77" t="s">
        <v>71</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4" ht="30" customHeight="1">
      <c r="B3" s="24" t="s">
        <v>1</v>
      </c>
      <c r="C3" s="18" t="s">
        <v>2</v>
      </c>
      <c r="D3" s="78" t="s">
        <v>3</v>
      </c>
      <c r="E3" s="78"/>
      <c r="G3" s="73"/>
      <c r="H3" s="79"/>
      <c r="I3" s="79"/>
      <c r="J3" s="79"/>
      <c r="K3" s="79"/>
      <c r="M3" s="17" t="s">
        <v>4</v>
      </c>
      <c r="N3" s="78" t="s">
        <v>5</v>
      </c>
      <c r="O3" s="78"/>
      <c r="P3" s="34"/>
      <c r="Q3" s="38"/>
      <c r="R3" s="38"/>
      <c r="S3" s="38"/>
      <c r="T3" s="38"/>
      <c r="U3" s="32"/>
      <c r="V3" s="38"/>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4"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f>AnoCalendário</f>
        <v>2026</v>
      </c>
    </row>
    <row r="6" spans="2:34" ht="30" customHeight="1">
      <c r="B6" s="5"/>
      <c r="C6" s="15" t="str">
        <f>TEXT(WEEKDAY(DATE(AnoCalendário,10,1),1),"ddd")</f>
        <v>qui</v>
      </c>
      <c r="D6" s="15" t="str">
        <f>TEXT(WEEKDAY(DATE(AnoCalendário,10,2),1),"ddd")</f>
        <v>sex</v>
      </c>
      <c r="E6" s="15" t="str">
        <f>TEXT(WEEKDAY(DATE(AnoCalendário,10,3),1),"ddd")</f>
        <v>sáb</v>
      </c>
      <c r="F6" s="15" t="str">
        <f>TEXT(WEEKDAY(DATE(AnoCalendário,10,4),1),"ddd")</f>
        <v>dom</v>
      </c>
      <c r="G6" s="15" t="str">
        <f>TEXT(WEEKDAY(DATE(AnoCalendário,10,5),1),"ddd")</f>
        <v>seg</v>
      </c>
      <c r="H6" s="15" t="str">
        <f>TEXT(WEEKDAY(DATE(AnoCalendário,10,6),1),"ddd")</f>
        <v>ter</v>
      </c>
      <c r="I6" s="15" t="str">
        <f>TEXT(WEEKDAY(DATE(AnoCalendário,10,7),1),"ddd")</f>
        <v>qua</v>
      </c>
      <c r="J6" s="15" t="str">
        <f>TEXT(WEEKDAY(DATE(AnoCalendário,10,8),1),"ddd")</f>
        <v>qui</v>
      </c>
      <c r="K6" s="15" t="str">
        <f>TEXT(WEEKDAY(DATE(AnoCalendário,10,9),1),"ddd")</f>
        <v>sex</v>
      </c>
      <c r="L6" s="15" t="str">
        <f>TEXT(WEEKDAY(DATE(AnoCalendário,10,10),1),"ddd")</f>
        <v>sáb</v>
      </c>
      <c r="M6" s="15" t="str">
        <f>TEXT(WEEKDAY(DATE(AnoCalendário,10,11),1),"ddd")</f>
        <v>dom</v>
      </c>
      <c r="N6" s="15" t="str">
        <f>TEXT(WEEKDAY(DATE(AnoCalendário,10,12),1),"ddd")</f>
        <v>seg</v>
      </c>
      <c r="O6" s="15" t="str">
        <f>TEXT(WEEKDAY(DATE(AnoCalendário,10,13),1),"ddd")</f>
        <v>ter</v>
      </c>
      <c r="P6" s="15" t="str">
        <f>TEXT(WEEKDAY(DATE(AnoCalendário,10,14),1),"ddd")</f>
        <v>qua</v>
      </c>
      <c r="Q6" s="15" t="str">
        <f>TEXT(WEEKDAY(DATE(AnoCalendário,10,15),1),"ddd")</f>
        <v>qui</v>
      </c>
      <c r="R6" s="15" t="str">
        <f>TEXT(WEEKDAY(DATE(AnoCalendário,10,16),1),"ddd")</f>
        <v>sex</v>
      </c>
      <c r="S6" s="15" t="str">
        <f>TEXT(WEEKDAY(DATE(AnoCalendário,10,17),1),"ddd")</f>
        <v>sáb</v>
      </c>
      <c r="T6" s="15" t="str">
        <f>TEXT(WEEKDAY(DATE(AnoCalendário,10,18),1),"ddd")</f>
        <v>dom</v>
      </c>
      <c r="U6" s="15" t="str">
        <f>TEXT(WEEKDAY(DATE(AnoCalendário,10,19),1),"ddd")</f>
        <v>seg</v>
      </c>
      <c r="V6" s="15" t="str">
        <f>TEXT(WEEKDAY(DATE(AnoCalendário,10,20),1),"ddd")</f>
        <v>ter</v>
      </c>
      <c r="W6" s="15" t="str">
        <f>TEXT(WEEKDAY(DATE(AnoCalendário,10,21),1),"ddd")</f>
        <v>qua</v>
      </c>
      <c r="X6" s="15" t="str">
        <f>TEXT(WEEKDAY(DATE(AnoCalendário,10,22),1),"ddd")</f>
        <v>qui</v>
      </c>
      <c r="Y6" s="15" t="str">
        <f>TEXT(WEEKDAY(DATE(AnoCalendário,10,23),1),"ddd")</f>
        <v>sex</v>
      </c>
      <c r="Z6" s="15" t="str">
        <f>TEXT(WEEKDAY(DATE(AnoCalendário,10,24),1),"ddd")</f>
        <v>sáb</v>
      </c>
      <c r="AA6" s="15" t="str">
        <f>TEXT(WEEKDAY(DATE(AnoCalendário,10,25),1),"ddd")</f>
        <v>dom</v>
      </c>
      <c r="AB6" s="15" t="str">
        <f>TEXT(WEEKDAY(DATE(AnoCalendário,10,26),1),"ddd")</f>
        <v>seg</v>
      </c>
      <c r="AC6" s="15" t="str">
        <f>TEXT(WEEKDAY(DATE(AnoCalendário,10,27),1),"ddd")</f>
        <v>ter</v>
      </c>
      <c r="AD6" s="15" t="str">
        <f>TEXT(WEEKDAY(DATE(AnoCalendário,10,28),1),"ddd")</f>
        <v>qua</v>
      </c>
      <c r="AE6" s="15" t="str">
        <f>TEXT(WEEKDAY(DATE(AnoCalendário,10,29),1),"ddd")</f>
        <v>qui</v>
      </c>
      <c r="AF6" s="15" t="str">
        <f>TEXT(WEEKDAY(DATE(AnoCalendário,10,30),1),"ddd")</f>
        <v>sex</v>
      </c>
      <c r="AG6" s="15" t="str">
        <f>TEXT(WEEKDAY(DATE(AnoCalendário,10,31),1),"ddd")</f>
        <v>sáb</v>
      </c>
      <c r="AH6" s="5"/>
    </row>
    <row r="7" spans="2:34"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row>
    <row r="8" spans="2:34"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COUNTA(Outubro[[#This Row],[1]:[31]])</f>
        <v>0</v>
      </c>
    </row>
    <row r="9" spans="2:34" ht="30" customHeight="1">
      <c r="B9" s="36"/>
      <c r="C9" s="1"/>
      <c r="D9" s="1"/>
      <c r="E9" s="1"/>
      <c r="F9" s="1"/>
      <c r="G9" s="1"/>
      <c r="I9" s="1"/>
      <c r="J9" s="1"/>
      <c r="K9" s="1"/>
      <c r="L9" s="1"/>
      <c r="M9" s="1"/>
      <c r="N9" s="1"/>
      <c r="O9" s="1"/>
      <c r="P9" s="1"/>
      <c r="Q9" s="1"/>
      <c r="S9" s="67"/>
      <c r="T9" s="1"/>
      <c r="V9" s="1"/>
      <c r="X9" s="1"/>
      <c r="Z9" s="1"/>
      <c r="AA9" s="1"/>
      <c r="AB9" s="1"/>
      <c r="AC9" s="1"/>
      <c r="AF9" s="1"/>
      <c r="AG9" s="37"/>
      <c r="AH9" s="3"/>
    </row>
    <row r="10" spans="2:34" ht="30" customHeight="1">
      <c r="B10" s="2" t="s">
        <v>41</v>
      </c>
      <c r="C10" s="1" t="s">
        <v>2</v>
      </c>
      <c r="D10" s="1" t="s">
        <v>2</v>
      </c>
      <c r="E10" s="1" t="s">
        <v>2</v>
      </c>
      <c r="F10" s="1" t="s">
        <v>2</v>
      </c>
      <c r="G10" s="1" t="s">
        <v>2</v>
      </c>
      <c r="H10" s="1" t="s">
        <v>2</v>
      </c>
      <c r="I10" s="1" t="s">
        <v>2</v>
      </c>
      <c r="J10" s="1" t="s">
        <v>2</v>
      </c>
      <c r="K10" s="1" t="s">
        <v>2</v>
      </c>
      <c r="L10" s="1"/>
      <c r="M10" s="1"/>
      <c r="N10" s="1"/>
      <c r="O10" s="1"/>
      <c r="P10" s="1"/>
      <c r="Q10" s="1"/>
      <c r="R10" s="1"/>
      <c r="S10" s="1"/>
      <c r="T10" s="1"/>
      <c r="U10" s="1"/>
      <c r="V10" s="1"/>
      <c r="W10" s="1"/>
      <c r="X10" s="1"/>
      <c r="Y10" s="1"/>
      <c r="Z10" s="1"/>
      <c r="AA10" s="1"/>
      <c r="AB10" s="1"/>
      <c r="AC10" s="1"/>
      <c r="AD10" s="1"/>
      <c r="AE10" s="1"/>
      <c r="AF10" s="1"/>
      <c r="AG10" s="1"/>
      <c r="AH10" s="3">
        <f>COUNTA(Outubro[[#This Row],[1]:[31]])</f>
        <v>9</v>
      </c>
    </row>
    <row r="11" spans="2:34" ht="30" customHeight="1">
      <c r="B11" s="36"/>
      <c r="C11" t="s">
        <v>72</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4" ht="30" customHeight="1">
      <c r="B12" s="2" t="s">
        <v>42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COUNTA(Outubro[[#This Row],[1]:[31]])</f>
        <v>0</v>
      </c>
    </row>
    <row r="13" spans="2:34" ht="30" customHeight="1">
      <c r="B13" s="36"/>
      <c r="C13" s="40"/>
      <c r="E13" s="1"/>
      <c r="G13" s="1"/>
      <c r="I13" s="1"/>
      <c r="J13" s="1"/>
      <c r="K13" s="1"/>
      <c r="L13" s="1"/>
      <c r="M13" s="1"/>
      <c r="N13" s="1"/>
      <c r="O13" s="1"/>
      <c r="P13" s="1"/>
      <c r="Q13" s="1"/>
      <c r="R13" s="1"/>
      <c r="S13" s="1"/>
      <c r="T13" s="1"/>
      <c r="U13" s="1"/>
      <c r="V13" s="1"/>
      <c r="W13" s="1"/>
      <c r="X13" s="1"/>
      <c r="Y13" s="1"/>
      <c r="Z13" s="1"/>
      <c r="AA13" s="1"/>
      <c r="AB13" s="1"/>
      <c r="AC13" s="1"/>
      <c r="AD13" s="1"/>
      <c r="AF13" s="1"/>
      <c r="AG13" s="37"/>
      <c r="AH13" s="3"/>
    </row>
    <row r="14" spans="2:34" ht="30" customHeight="1">
      <c r="B14" s="2" t="s">
        <v>64</v>
      </c>
      <c r="C14" s="1"/>
      <c r="D14" s="1"/>
      <c r="E14" s="1"/>
      <c r="F14" s="1"/>
      <c r="G14" s="1"/>
      <c r="H14" s="1"/>
      <c r="I14" s="1"/>
      <c r="J14" s="1"/>
      <c r="K14" s="1"/>
      <c r="L14" s="1"/>
      <c r="M14" s="58"/>
      <c r="N14" s="1"/>
      <c r="O14" s="1"/>
      <c r="P14" s="1"/>
      <c r="Q14" s="1"/>
      <c r="R14" s="1"/>
      <c r="S14" s="1"/>
      <c r="T14" s="1"/>
      <c r="U14" s="1"/>
      <c r="V14" s="1"/>
      <c r="W14" s="1"/>
      <c r="X14" s="1"/>
      <c r="Y14" s="1"/>
      <c r="Z14" s="1"/>
      <c r="AA14" s="1"/>
      <c r="AB14" s="1"/>
      <c r="AC14" s="1"/>
      <c r="AD14" s="1"/>
      <c r="AE14" s="1"/>
      <c r="AF14" s="1"/>
      <c r="AG14" s="1"/>
      <c r="AH14" s="3">
        <f>COUNTA(Outubro[[#This Row],[1]:[31]])</f>
        <v>0</v>
      </c>
    </row>
    <row r="15" spans="2:34" ht="30" customHeight="1">
      <c r="B15" s="36"/>
      <c r="C15" s="1"/>
      <c r="D15" s="1"/>
      <c r="E15" s="1"/>
      <c r="F15" s="1"/>
      <c r="G15" s="1"/>
      <c r="H15" s="1"/>
      <c r="I15" s="1"/>
      <c r="J15" s="1"/>
      <c r="K15" s="1"/>
      <c r="L15" s="1"/>
      <c r="M15" s="1"/>
      <c r="N15" s="1"/>
      <c r="O15" s="1"/>
      <c r="Q15" s="1"/>
      <c r="R15" s="1"/>
      <c r="S15" s="1"/>
      <c r="T15" s="1"/>
      <c r="U15" s="1"/>
      <c r="V15" s="1"/>
      <c r="W15" s="1"/>
      <c r="X15" s="1"/>
      <c r="Y15" s="1"/>
      <c r="Z15" s="1"/>
      <c r="AC15" s="1"/>
      <c r="AD15" s="1"/>
      <c r="AF15" s="1"/>
      <c r="AG15" s="37"/>
      <c r="AH15" s="3"/>
    </row>
    <row r="16" spans="2:34" ht="30"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COUNTA(Outubro[[#This Row],[1]:[31]])</f>
        <v>0</v>
      </c>
    </row>
    <row r="17" spans="2:34" ht="30" customHeight="1">
      <c r="B17" s="3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37"/>
      <c r="AH17" s="3"/>
    </row>
    <row r="18" spans="2:34" ht="30" customHeight="1">
      <c r="B18" s="1" t="s">
        <v>48</v>
      </c>
      <c r="C18" s="4">
        <f>COUNTA(C8,C10,C12,C14,C16)</f>
        <v>1</v>
      </c>
      <c r="D18" s="4">
        <f t="shared" ref="D18:AF18" si="0">COUNTA(D8,D10,D12,D14,D16)</f>
        <v>1</v>
      </c>
      <c r="E18" s="4">
        <f t="shared" si="0"/>
        <v>1</v>
      </c>
      <c r="F18" s="4">
        <f t="shared" si="0"/>
        <v>1</v>
      </c>
      <c r="G18" s="4">
        <f t="shared" si="0"/>
        <v>1</v>
      </c>
      <c r="H18" s="4">
        <f t="shared" si="0"/>
        <v>1</v>
      </c>
      <c r="I18" s="4">
        <f t="shared" si="0"/>
        <v>1</v>
      </c>
      <c r="J18" s="4">
        <f t="shared" si="0"/>
        <v>1</v>
      </c>
      <c r="K18" s="4">
        <f t="shared" si="0"/>
        <v>1</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0</v>
      </c>
      <c r="AG18" s="4">
        <f>COUNTA(AG8,AG10,AG12,AG14,AG16)</f>
        <v>0</v>
      </c>
      <c r="AH18" s="4"/>
    </row>
  </sheetData>
  <mergeCells count="5">
    <mergeCell ref="B1:AH1"/>
    <mergeCell ref="D3:E3"/>
    <mergeCell ref="H3:K3"/>
    <mergeCell ref="N3:O3"/>
    <mergeCell ref="C5:AG5"/>
  </mergeCells>
  <phoneticPr fontId="26" type="noConversion"/>
  <conditionalFormatting sqref="C13">
    <cfRule type="cellIs" dxfId="266" priority="1" operator="equal">
      <formula>"L"</formula>
    </cfRule>
    <cfRule type="cellIs" dxfId="265" priority="2" operator="equal">
      <formula>"A"</formula>
    </cfRule>
    <cfRule type="cellIs" dxfId="264" priority="3" operator="equal">
      <formula>"A"</formula>
    </cfRule>
    <cfRule type="cellIs" dxfId="263" priority="4" operator="equal">
      <formula>"A"</formula>
    </cfRule>
    <cfRule type="expression" priority="5" stopIfTrue="1">
      <formula>C13=""</formula>
    </cfRule>
    <cfRule type="expression" dxfId="262" priority="6" stopIfTrue="1">
      <formula>C13=ChavePersonalizada2</formula>
    </cfRule>
    <cfRule type="expression" dxfId="261" priority="7" stopIfTrue="1">
      <formula>C13=ChavePersonalizada1</formula>
    </cfRule>
    <cfRule type="expression" dxfId="260" priority="8" stopIfTrue="1">
      <formula>C13=ChaveLicençaMédica</formula>
    </cfRule>
    <cfRule type="expression" dxfId="259" priority="9" stopIfTrue="1">
      <formula>C13=ChavePessoal</formula>
    </cfRule>
    <cfRule type="expression" dxfId="258" priority="10" stopIfTrue="1">
      <formula>C13=ChaveFérias</formula>
    </cfRule>
  </conditionalFormatting>
  <conditionalFormatting sqref="C8:AG12 D13:AG13 C14:AG17">
    <cfRule type="cellIs" dxfId="257" priority="11" operator="equal">
      <formula>"L"</formula>
    </cfRule>
    <cfRule type="cellIs" dxfId="256" priority="12" operator="equal">
      <formula>"A"</formula>
    </cfRule>
    <cfRule type="expression" priority="13" stopIfTrue="1">
      <formula>C8=""</formula>
    </cfRule>
    <cfRule type="expression" dxfId="255" priority="14" stopIfTrue="1">
      <formula>C8=ChavePersonalizada2</formula>
    </cfRule>
    <cfRule type="expression" dxfId="254" priority="15" stopIfTrue="1">
      <formula>C8=ChavePersonalizada1</formula>
    </cfRule>
    <cfRule type="expression" dxfId="253" priority="16" stopIfTrue="1">
      <formula>C8=ChaveLicençaMédica</formula>
    </cfRule>
    <cfRule type="expression" dxfId="252" priority="17" stopIfTrue="1">
      <formula>C8=ChavePessoal</formula>
    </cfRule>
    <cfRule type="expression" dxfId="251" priority="18" stopIfTrue="1">
      <formula>C8=ChaveFérias</formula>
    </cfRule>
  </conditionalFormatting>
  <conditionalFormatting sqref="AH8:AH17">
    <cfRule type="dataBar" priority="19">
      <dataBar>
        <cfvo type="min"/>
        <cfvo type="formula" val="DATEDIF(DATE(AnoCalendário,2,1),DATE(AnoCalendário,3,1),&quot;d&quot;)"/>
        <color theme="2" tint="-0.249977111117893"/>
      </dataBar>
      <extLst>
        <ext xmlns:x14="http://schemas.microsoft.com/office/spreadsheetml/2009/9/main" uri="{B025F937-C7B1-47D3-B67F-A62EFF666E3E}">
          <x14:id>{F32A08EA-50E8-4B5F-AB1F-5A7739FBC16C}</x14:id>
        </ext>
      </extLst>
    </cfRule>
  </conditionalFormatting>
  <dataValidations count="13">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6C3B7250-7883-E447-A5BD-190F9EC85610}"/>
    <dataValidation allowBlank="1" showInputMessage="1" showErrorMessage="1" prompt="Ano atualizado automaticamente com base no ano inserido na planilha de janeiro." sqref="AH5" xr:uid="{856FAEF4-8645-3447-91CD-944E3DA437F4}"/>
    <dataValidation allowBlank="1" showInputMessage="1" showErrorMessage="1" prompt="Calcula automaticamente o número total de dias em que um funcionário esteve ausente deste mês nesta coluna." sqref="AH7" xr:uid="{460C2673-D90D-514F-89AA-D6D7BDC2B7D4}"/>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206A4A4D-BDF9-46D6-831F-D06771C11CA9}"/>
    <dataValidation allowBlank="1" showInputMessage="1" showErrorMessage="1" prompt="A letra &quot;F&quot; indica falta devido a férias." sqref="C3" xr:uid="{6B4957B2-317E-476E-AB19-27588B4389B2}"/>
    <dataValidation allowBlank="1" showInputMessage="1" showErrorMessage="1" prompt="A letra &quot;P&quot; indica falta devido a motivos pessoais." sqref="G3" xr:uid="{6B04E950-3842-4D78-8E18-B6CA2E819C29}"/>
    <dataValidation allowBlank="1" showInputMessage="1" showErrorMessage="1" prompt="A letra &quot;L&quot; indica falta devido à licença médica." sqref="M3" xr:uid="{ABFF2FB9-6202-4123-B128-FAAEE03BD3D8}"/>
    <dataValidation allowBlank="1" showInputMessage="1" showErrorMessage="1" prompt="Insira uma letra e personalize o rótulo à direita para adicionar outro item de chave." sqref="U3" xr:uid="{51E398A9-6626-49B9-8B5E-0134A438C6D5}"/>
    <dataValidation allowBlank="1" showInputMessage="1" showErrorMessage="1" prompt="Insira um rótulo para descrever a chave personalizada à esquerda." sqref="V3 Q3" xr:uid="{6848082C-681A-4789-8CE5-E69D9CE323BF}"/>
    <dataValidation allowBlank="1" showInputMessage="1" showErrorMessage="1" prompt="O nome do mês para essa agenda de faltas está nesta célula. Os totais de faltas deste mês estão na última célula da tabela. Selecione os nomes dos funcionários na tabela B." sqref="B1" xr:uid="{B030D16F-48FB-479E-87F2-C067166F23F0}"/>
    <dataValidation allowBlank="1" showInputMessage="1" showErrorMessage="1" prompt="Os dias do mês nesta linha são gerados automaticamente. Insira a falta e o tipo de falta de um funcionário em cada coluna de cada dia do mês. Espaço vazio significa sem faltas." sqref="C7" xr:uid="{E2589F34-72AD-7946-9C30-9FD4409BBCB4}"/>
    <dataValidation allowBlank="1" showInputMessage="1" showErrorMessage="1" prompt="Esta linha define as chaves utilizadas na tabela: a célula C4 é Férias, G4 é Pessoal e K4 é Licença médica. As células N4 e R4 são personalizáveis " sqref="B3" xr:uid="{FB1DC487-7164-4BAD-9A25-200A4CE16C85}"/>
    <dataValidation allowBlank="1" showInputMessage="1" showErrorMessage="1" prompt="O título atualizado automaticamente está nesta célula. Para modificar o título, atualize B1 na planilha Janeiro." sqref="B1" xr:uid="{13BE7079-A127-4F82-9A5C-641FDD72A7F8}"/>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2A08EA-50E8-4B5F-AB1F-5A7739FBC16C}">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Diretores!$B$3:$B$7</xm:f>
          </x14:formula1>
          <xm:sqref>B8:B17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B1:AG18"/>
  <sheetViews>
    <sheetView showGridLines="0" zoomScale="80" zoomScaleNormal="80" workbookViewId="0">
      <selection activeCell="B14" sqref="B14"/>
    </sheetView>
  </sheetViews>
  <sheetFormatPr defaultColWidth="8.7109375" defaultRowHeight="30" customHeight="1"/>
  <cols>
    <col min="1" max="1" width="2.7109375" customWidth="1"/>
    <col min="2" max="2" width="33.42578125" bestFit="1" customWidth="1"/>
    <col min="3" max="3" width="4.85546875" customWidth="1"/>
    <col min="4" max="8" width="4.7109375" customWidth="1"/>
    <col min="9" max="9" width="5.140625" customWidth="1"/>
    <col min="10" max="32" width="4.7109375" customWidth="1"/>
    <col min="33" max="33" width="14.85546875" customWidth="1"/>
    <col min="34" max="34" width="2.7109375" customWidth="1"/>
  </cols>
  <sheetData>
    <row r="1" spans="2:33" ht="61.5">
      <c r="B1" s="77" t="s">
        <v>73</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2:33"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30" customHeight="1">
      <c r="B3" s="24" t="s">
        <v>1</v>
      </c>
      <c r="C3" s="18" t="s">
        <v>2</v>
      </c>
      <c r="D3" s="78" t="s">
        <v>3</v>
      </c>
      <c r="E3" s="78"/>
      <c r="G3" s="73"/>
      <c r="H3" s="79"/>
      <c r="I3" s="79"/>
      <c r="J3" s="79"/>
      <c r="K3" s="79"/>
      <c r="M3" s="17" t="s">
        <v>4</v>
      </c>
      <c r="N3" s="78" t="s">
        <v>5</v>
      </c>
      <c r="O3" s="78"/>
      <c r="P3" s="34"/>
      <c r="Q3" s="38"/>
      <c r="R3" s="38"/>
      <c r="S3" s="38"/>
      <c r="T3" s="38"/>
      <c r="U3" s="32"/>
      <c r="V3" s="38"/>
      <c r="W3" s="34"/>
      <c r="X3" s="34"/>
      <c r="Y3" s="34"/>
    </row>
    <row r="4" spans="2:33"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3" ht="17.25" customHeight="1">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5">
        <f>AnoCalendário</f>
        <v>2026</v>
      </c>
    </row>
    <row r="6" spans="2:33" ht="21.75" customHeight="1">
      <c r="B6" s="5"/>
      <c r="C6" s="15" t="str">
        <f>TEXT(WEEKDAY(DATE(AnoCalendário,11,1),1),"ddd")</f>
        <v>dom</v>
      </c>
      <c r="D6" s="15" t="str">
        <f>TEXT(WEEKDAY(DATE(AnoCalendário,11,2),1),"ddd")</f>
        <v>seg</v>
      </c>
      <c r="E6" s="15" t="str">
        <f>TEXT(WEEKDAY(DATE(AnoCalendário,11,3),1),"ddd")</f>
        <v>ter</v>
      </c>
      <c r="F6" s="15" t="str">
        <f>TEXT(WEEKDAY(DATE(AnoCalendário,11,4),1),"ddd")</f>
        <v>qua</v>
      </c>
      <c r="G6" s="15" t="str">
        <f>TEXT(WEEKDAY(DATE(AnoCalendário,11,5),1),"ddd")</f>
        <v>qui</v>
      </c>
      <c r="H6" s="15" t="str">
        <f>TEXT(WEEKDAY(DATE(AnoCalendário,11,6),1),"ddd")</f>
        <v>sex</v>
      </c>
      <c r="I6" s="15" t="str">
        <f>TEXT(WEEKDAY(DATE(AnoCalendário,11,7),1),"ddd")</f>
        <v>sáb</v>
      </c>
      <c r="J6" s="15" t="str">
        <f>TEXT(WEEKDAY(DATE(AnoCalendário,11,8),1),"ddd")</f>
        <v>dom</v>
      </c>
      <c r="K6" s="15" t="str">
        <f>TEXT(WEEKDAY(DATE(AnoCalendário,11,9),1),"ddd")</f>
        <v>seg</v>
      </c>
      <c r="L6" s="15" t="str">
        <f>TEXT(WEEKDAY(DATE(AnoCalendário,11,10),1),"ddd")</f>
        <v>ter</v>
      </c>
      <c r="M6" s="15" t="str">
        <f>TEXT(WEEKDAY(DATE(AnoCalendário,11,11),1),"ddd")</f>
        <v>qua</v>
      </c>
      <c r="N6" s="15" t="str">
        <f>TEXT(WEEKDAY(DATE(AnoCalendário,11,12),1),"ddd")</f>
        <v>qui</v>
      </c>
      <c r="O6" s="15" t="str">
        <f>TEXT(WEEKDAY(DATE(AnoCalendário,11,13),1),"ddd")</f>
        <v>sex</v>
      </c>
      <c r="P6" s="15" t="str">
        <f>TEXT(WEEKDAY(DATE(AnoCalendário,11,14),1),"ddd")</f>
        <v>sáb</v>
      </c>
      <c r="Q6" s="15" t="str">
        <f>TEXT(WEEKDAY(DATE(AnoCalendário,11,15),1),"ddd")</f>
        <v>dom</v>
      </c>
      <c r="R6" s="15" t="str">
        <f>TEXT(WEEKDAY(DATE(AnoCalendário,11,16),1),"ddd")</f>
        <v>seg</v>
      </c>
      <c r="S6" s="15" t="str">
        <f>TEXT(WEEKDAY(DATE(AnoCalendário,11,17),1),"ddd")</f>
        <v>ter</v>
      </c>
      <c r="T6" s="15" t="str">
        <f>TEXT(WEEKDAY(DATE(AnoCalendário,11,18),1),"ddd")</f>
        <v>qua</v>
      </c>
      <c r="U6" s="15" t="str">
        <f>TEXT(WEEKDAY(DATE(AnoCalendário,11,19),1),"ddd")</f>
        <v>qui</v>
      </c>
      <c r="V6" s="15" t="str">
        <f>TEXT(WEEKDAY(DATE(AnoCalendário,11,20),1),"ddd")</f>
        <v>sex</v>
      </c>
      <c r="W6" s="15" t="str">
        <f>TEXT(WEEKDAY(DATE(AnoCalendário,11,21),1),"ddd")</f>
        <v>sáb</v>
      </c>
      <c r="X6" s="15" t="str">
        <f>TEXT(WEEKDAY(DATE(AnoCalendário,11,22),1),"ddd")</f>
        <v>dom</v>
      </c>
      <c r="Y6" s="15" t="str">
        <f>TEXT(WEEKDAY(DATE(AnoCalendário,11,23),1),"ddd")</f>
        <v>seg</v>
      </c>
      <c r="Z6" s="15" t="str">
        <f>TEXT(WEEKDAY(DATE(AnoCalendário,11,24),1),"ddd")</f>
        <v>ter</v>
      </c>
      <c r="AA6" s="15" t="str">
        <f>TEXT(WEEKDAY(DATE(AnoCalendário,11,25),1),"ddd")</f>
        <v>qua</v>
      </c>
      <c r="AB6" s="15" t="str">
        <f>TEXT(WEEKDAY(DATE(AnoCalendário,11,26),1),"ddd")</f>
        <v>qui</v>
      </c>
      <c r="AC6" s="15" t="str">
        <f>TEXT(WEEKDAY(DATE(AnoCalendário,11,27),1),"ddd")</f>
        <v>sex</v>
      </c>
      <c r="AD6" s="15" t="str">
        <f>TEXT(WEEKDAY(DATE(AnoCalendário,11,28),1),"ddd")</f>
        <v>sáb</v>
      </c>
      <c r="AE6" s="15" t="str">
        <f>TEXT(WEEKDAY(DATE(AnoCalendário,11,29),1),"ddd")</f>
        <v>dom</v>
      </c>
      <c r="AF6" s="15" t="str">
        <f>TEXT(WEEKDAY(DATE(AnoCalendário,11,30),1),"ddd")</f>
        <v>seg</v>
      </c>
      <c r="AG6" s="5"/>
    </row>
    <row r="7" spans="2:33"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6" t="s">
        <v>38</v>
      </c>
    </row>
    <row r="8" spans="2:33"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41">
        <f>COUNTA(Novembro[[#This Row],[1]:[30]])</f>
        <v>0</v>
      </c>
    </row>
    <row r="9" spans="2:33" ht="30" customHeight="1">
      <c r="B9" s="36"/>
      <c r="D9" s="1"/>
      <c r="E9" s="1"/>
      <c r="F9" s="1"/>
      <c r="G9" s="1"/>
      <c r="H9" s="1"/>
      <c r="I9" s="1"/>
      <c r="J9" s="1"/>
      <c r="K9" s="1"/>
      <c r="L9" s="1"/>
      <c r="M9" s="1"/>
      <c r="O9" s="1"/>
      <c r="P9" s="1"/>
      <c r="Q9" s="1"/>
      <c r="R9" s="1"/>
      <c r="S9" s="1"/>
      <c r="U9" s="1"/>
      <c r="W9" s="1"/>
      <c r="X9" s="1"/>
      <c r="Z9" s="1"/>
      <c r="AA9" s="1"/>
      <c r="AB9" s="1"/>
      <c r="AC9" s="1"/>
      <c r="AD9" s="1"/>
      <c r="AE9" s="1"/>
      <c r="AF9" s="1"/>
      <c r="AG9" s="41"/>
    </row>
    <row r="10" spans="2:33"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3">
        <f>COUNTA(Novembro[[#This Row],[1]:[30]])</f>
        <v>0</v>
      </c>
    </row>
    <row r="11" spans="2:33" ht="30" customHeight="1">
      <c r="B11" s="36"/>
      <c r="C11" s="1"/>
      <c r="D11" s="1"/>
      <c r="E11" s="1"/>
      <c r="F11" s="40"/>
      <c r="H11" s="1"/>
      <c r="I11" s="1"/>
      <c r="J11" s="1"/>
      <c r="K11" s="1"/>
      <c r="L11" s="1"/>
      <c r="M11" s="1"/>
      <c r="N11" s="1"/>
      <c r="O11" s="1"/>
      <c r="P11" s="1"/>
      <c r="Q11" s="1"/>
      <c r="R11" s="1"/>
      <c r="S11" s="1"/>
      <c r="T11" s="1"/>
      <c r="U11" s="1"/>
      <c r="V11" s="1"/>
      <c r="W11" s="1"/>
      <c r="X11" s="1"/>
      <c r="Y11" s="1"/>
      <c r="Z11" s="1"/>
      <c r="AA11" s="1"/>
      <c r="AB11" s="1"/>
      <c r="AC11" s="1"/>
      <c r="AD11" s="1"/>
      <c r="AE11" s="1"/>
      <c r="AF11" s="1"/>
      <c r="AG11" s="3"/>
    </row>
    <row r="12" spans="2:33" ht="30" customHeight="1">
      <c r="B12" s="2" t="s">
        <v>42</v>
      </c>
      <c r="C12" s="1"/>
      <c r="D12" s="1"/>
      <c r="E12" s="1"/>
      <c r="F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COUNTA(Novembro[[#This Row],[1]:[30]])</f>
        <v>0</v>
      </c>
    </row>
    <row r="13" spans="2:33" ht="30" customHeight="1">
      <c r="B13" s="36"/>
      <c r="D13" s="1"/>
      <c r="E13" s="1"/>
      <c r="F13" s="1"/>
      <c r="G13" s="1"/>
      <c r="H13" s="1"/>
      <c r="I13" s="1"/>
      <c r="J13" s="1"/>
      <c r="K13" s="1"/>
      <c r="L13" s="1"/>
      <c r="N13" s="1"/>
      <c r="O13" s="1"/>
      <c r="P13" s="1"/>
      <c r="Q13" s="1"/>
      <c r="R13" s="1"/>
      <c r="S13" s="1"/>
      <c r="T13" s="1"/>
      <c r="U13" s="1"/>
      <c r="V13" s="1"/>
      <c r="W13" s="1"/>
      <c r="X13" s="1"/>
      <c r="Y13" s="1"/>
      <c r="Z13" s="1"/>
      <c r="AA13" s="1"/>
      <c r="AB13" s="1"/>
      <c r="AC13" s="1"/>
      <c r="AD13" s="1"/>
      <c r="AE13" s="1"/>
      <c r="AF13" s="1"/>
      <c r="AG13" s="3"/>
    </row>
    <row r="14" spans="2:33" ht="30" customHeight="1">
      <c r="B14" s="2" t="s">
        <v>64</v>
      </c>
      <c r="C14" s="1"/>
      <c r="D14" s="1"/>
      <c r="E14" s="1"/>
      <c r="F14" s="1"/>
      <c r="G14" s="1"/>
      <c r="H14" s="1"/>
      <c r="I14" s="1"/>
      <c r="J14" s="1"/>
      <c r="K14" s="1"/>
      <c r="L14" s="1"/>
      <c r="M14" s="1"/>
      <c r="N14" s="1"/>
      <c r="O14" s="1"/>
      <c r="P14" s="1"/>
      <c r="Q14" s="1"/>
      <c r="R14" s="1"/>
      <c r="S14" s="1"/>
      <c r="T14" s="1"/>
      <c r="U14" s="1"/>
      <c r="V14" s="1"/>
      <c r="W14" s="1"/>
      <c r="X14" s="1"/>
      <c r="Y14" s="1"/>
      <c r="Z14" s="1" t="s">
        <v>2</v>
      </c>
      <c r="AA14" s="1" t="s">
        <v>2</v>
      </c>
      <c r="AB14" s="1" t="s">
        <v>2</v>
      </c>
      <c r="AC14" s="1" t="s">
        <v>2</v>
      </c>
      <c r="AD14" s="1" t="s">
        <v>2</v>
      </c>
      <c r="AE14" s="1" t="s">
        <v>2</v>
      </c>
      <c r="AF14" s="1"/>
      <c r="AG14" s="3">
        <f>COUNTA(Novembro[[#This Row],[1]:[30]])</f>
        <v>6</v>
      </c>
    </row>
    <row r="15" spans="2:33" ht="30" customHeight="1">
      <c r="B15" s="36"/>
      <c r="D15" s="1"/>
      <c r="E15" s="1"/>
      <c r="F15" s="1"/>
      <c r="G15" s="1"/>
      <c r="H15" s="1"/>
      <c r="I15" s="1"/>
      <c r="J15" s="1"/>
      <c r="K15" s="1"/>
      <c r="L15" s="1"/>
      <c r="M15" s="1"/>
      <c r="N15" s="1"/>
      <c r="O15" s="1"/>
      <c r="P15" s="1"/>
      <c r="Q15" s="1"/>
      <c r="R15" s="1"/>
      <c r="S15" s="1"/>
      <c r="T15" s="1"/>
      <c r="U15" s="1"/>
      <c r="V15" s="1"/>
      <c r="W15" s="1"/>
      <c r="X15" s="1"/>
      <c r="Y15" s="1"/>
      <c r="Z15" s="1" t="s">
        <v>74</v>
      </c>
      <c r="AA15" s="1"/>
      <c r="AB15" s="1"/>
      <c r="AC15" s="1"/>
      <c r="AD15" s="1"/>
      <c r="AE15" s="1"/>
      <c r="AF15" s="1"/>
      <c r="AG15" s="3"/>
    </row>
    <row r="16" spans="2:33" ht="30" customHeight="1">
      <c r="B16" s="2" t="s">
        <v>46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3">
        <f>COUNTA(Novembro[[#This Row],[1]:[30]])</f>
        <v>0</v>
      </c>
    </row>
    <row r="17" spans="2:33" ht="30" customHeight="1">
      <c r="B17" s="36"/>
      <c r="C17" s="1"/>
      <c r="D17" s="1"/>
      <c r="E17" s="1"/>
      <c r="F17" s="1"/>
      <c r="G17" s="1"/>
      <c r="H17" s="1"/>
      <c r="I17" s="1"/>
      <c r="J17" s="1"/>
      <c r="K17" s="1"/>
      <c r="L17" s="1"/>
      <c r="M17" s="1"/>
      <c r="O17" s="1"/>
      <c r="P17" s="1"/>
      <c r="Q17" s="1"/>
      <c r="R17" s="1"/>
      <c r="S17" s="1"/>
      <c r="U17" s="40"/>
      <c r="V17" s="1"/>
      <c r="W17" s="1"/>
      <c r="X17" s="1"/>
      <c r="Y17" s="1"/>
      <c r="Z17" s="1"/>
      <c r="AA17" s="1"/>
      <c r="AB17" s="1"/>
      <c r="AC17" s="1"/>
      <c r="AD17" s="1"/>
      <c r="AE17" s="1"/>
      <c r="AF17" s="1"/>
      <c r="AG17" s="3"/>
    </row>
    <row r="18" spans="2:33" ht="30" customHeight="1">
      <c r="B18" s="1" t="s">
        <v>48</v>
      </c>
      <c r="C18" s="4">
        <f t="shared" ref="C18:AF18" si="0">COUNTA(C8,C10,C12,C14,C16)</f>
        <v>0</v>
      </c>
      <c r="D18" s="4">
        <f t="shared" si="0"/>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1</v>
      </c>
      <c r="AA18" s="4">
        <f t="shared" si="0"/>
        <v>1</v>
      </c>
      <c r="AB18" s="4">
        <f t="shared" si="0"/>
        <v>1</v>
      </c>
      <c r="AC18" s="4">
        <f t="shared" si="0"/>
        <v>1</v>
      </c>
      <c r="AD18" s="4">
        <f t="shared" si="0"/>
        <v>1</v>
      </c>
      <c r="AE18" s="4">
        <f t="shared" si="0"/>
        <v>1</v>
      </c>
      <c r="AF18" s="4">
        <f t="shared" si="0"/>
        <v>0</v>
      </c>
      <c r="AG18" s="4"/>
    </row>
  </sheetData>
  <mergeCells count="5">
    <mergeCell ref="B1:AG1"/>
    <mergeCell ref="D3:E3"/>
    <mergeCell ref="H3:K3"/>
    <mergeCell ref="N3:O3"/>
    <mergeCell ref="C5:AF5"/>
  </mergeCells>
  <phoneticPr fontId="26" type="noConversion"/>
  <conditionalFormatting sqref="C8:AF10 C11:E11 G11:AF11 C12:AF16 C17:T17 V17:AF17">
    <cfRule type="cellIs" dxfId="181" priority="41" operator="equal">
      <formula>"L"</formula>
    </cfRule>
    <cfRule type="cellIs" dxfId="180" priority="42" operator="equal">
      <formula>"A"</formula>
    </cfRule>
    <cfRule type="expression" priority="43" stopIfTrue="1">
      <formula>C8=""</formula>
    </cfRule>
    <cfRule type="expression" dxfId="179" priority="44" stopIfTrue="1">
      <formula>C8=ChavePersonalizada2</formula>
    </cfRule>
    <cfRule type="expression" dxfId="178" priority="45" stopIfTrue="1">
      <formula>C8=ChavePersonalizada1</formula>
    </cfRule>
    <cfRule type="expression" dxfId="177" priority="46" stopIfTrue="1">
      <formula>C8=ChaveLicençaMédica</formula>
    </cfRule>
    <cfRule type="expression" dxfId="176" priority="47" stopIfTrue="1">
      <formula>C8=ChavePessoal</formula>
    </cfRule>
    <cfRule type="expression" dxfId="175" priority="48" stopIfTrue="1">
      <formula>C8=ChaveFérias</formula>
    </cfRule>
  </conditionalFormatting>
  <conditionalFormatting sqref="F11">
    <cfRule type="cellIs" dxfId="174" priority="11" operator="equal">
      <formula>"L"</formula>
    </cfRule>
    <cfRule type="cellIs" dxfId="173" priority="12" operator="equal">
      <formula>"A"</formula>
    </cfRule>
    <cfRule type="cellIs" dxfId="172" priority="13" operator="equal">
      <formula>"A"</formula>
    </cfRule>
    <cfRule type="cellIs" dxfId="171" priority="14" operator="equal">
      <formula>"A"</formula>
    </cfRule>
    <cfRule type="expression" priority="15" stopIfTrue="1">
      <formula>F11=""</formula>
    </cfRule>
    <cfRule type="expression" dxfId="170" priority="16" stopIfTrue="1">
      <formula>F11=ChavePersonalizada2</formula>
    </cfRule>
    <cfRule type="expression" dxfId="169" priority="17" stopIfTrue="1">
      <formula>F11=ChavePersonalizada1</formula>
    </cfRule>
    <cfRule type="expression" dxfId="168" priority="18" stopIfTrue="1">
      <formula>F11=ChaveLicençaMédica</formula>
    </cfRule>
    <cfRule type="expression" dxfId="167" priority="19" stopIfTrue="1">
      <formula>F11=ChavePessoal</formula>
    </cfRule>
    <cfRule type="expression" dxfId="166" priority="20" stopIfTrue="1">
      <formula>F11=ChaveFérias</formula>
    </cfRule>
  </conditionalFormatting>
  <conditionalFormatting sqref="U17">
    <cfRule type="cellIs" dxfId="165" priority="1" operator="equal">
      <formula>"L"</formula>
    </cfRule>
    <cfRule type="cellIs" dxfId="164" priority="2" operator="equal">
      <formula>"A"</formula>
    </cfRule>
    <cfRule type="cellIs" dxfId="163" priority="3" operator="equal">
      <formula>"A"</formula>
    </cfRule>
    <cfRule type="cellIs" dxfId="162" priority="4" operator="equal">
      <formula>"A"</formula>
    </cfRule>
    <cfRule type="expression" priority="5" stopIfTrue="1">
      <formula>U17=""</formula>
    </cfRule>
    <cfRule type="expression" dxfId="161" priority="6" stopIfTrue="1">
      <formula>U17=ChavePersonalizada2</formula>
    </cfRule>
    <cfRule type="expression" dxfId="160" priority="7" stopIfTrue="1">
      <formula>U17=ChavePersonalizada1</formula>
    </cfRule>
    <cfRule type="expression" dxfId="159" priority="8" stopIfTrue="1">
      <formula>U17=ChaveLicençaMédica</formula>
    </cfRule>
    <cfRule type="expression" dxfId="158" priority="9" stopIfTrue="1">
      <formula>U17=ChavePessoal</formula>
    </cfRule>
    <cfRule type="expression" dxfId="157" priority="10" stopIfTrue="1">
      <formula>U17=ChaveFérias</formula>
    </cfRule>
  </conditionalFormatting>
  <conditionalFormatting sqref="AG8:AG17">
    <cfRule type="dataBar" priority="210">
      <dataBar>
        <cfvo type="min"/>
        <cfvo type="formula" val="DATEDIF(DATE(AnoCalendário,2,1),DATE(AnoCalendário,3,1),&quot;d&quot;)"/>
        <color theme="2" tint="-0.249977111117893"/>
      </dataBar>
      <extLst>
        <ext xmlns:x14="http://schemas.microsoft.com/office/spreadsheetml/2009/9/main" uri="{B025F937-C7B1-47D3-B67F-A62EFF666E3E}">
          <x14:id>{27D92E49-5CF1-46DF-AD7A-3A5E92F274F3}</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97706874-D6EF-7649-8BB0-992E1F25B736}"/>
    <dataValidation allowBlank="1" showInputMessage="1" showErrorMessage="1" prompt="O nome do mês para essa agenda de faltas está nesta célula. Os totais de faltas deste mês estão na última célula da tabela. Selecione os nomes dos funcionários na tabela B." sqref="B1" xr:uid="{7B6A0CF8-54E4-46F9-85DF-1BAD04E30F76}"/>
    <dataValidation allowBlank="1" showInputMessage="1" showErrorMessage="1" prompt="Esta linha define as chaves utilizadas na tabela: a célula C4 é Férias, G4 é Pessoal e K4 é Licença médica. As células N4 e R4 são personalizáveis " sqref="B3" xr:uid="{07F7DDBF-C72C-4BA7-BE0F-880A5F8DCA40}"/>
    <dataValidation allowBlank="1" showInputMessage="1" showErrorMessage="1" prompt="Insira um rótulo para descrever a chave personalizada à esquerda." sqref="V3 Q3" xr:uid="{110F6F1F-B978-4DA6-80DC-CD59AD379054}"/>
    <dataValidation allowBlank="1" showInputMessage="1" showErrorMessage="1" prompt="Insira uma letra e personalize o rótulo à direita para adicionar outro item de chave." sqref="U3" xr:uid="{49C74D21-C1B6-4947-8B03-6B5B3259C8AB}"/>
    <dataValidation allowBlank="1" showInputMessage="1" showErrorMessage="1" prompt="A letra &quot;L&quot; indica falta devido à licença médica." sqref="M3" xr:uid="{E4AB7764-1DE5-4E72-9E37-015E988C21B6}"/>
    <dataValidation allowBlank="1" showInputMessage="1" showErrorMessage="1" prompt="A letra &quot;P&quot; indica falta devido a motivos pessoais." sqref="G3" xr:uid="{49412E03-C495-4161-AC97-673E3CD72F6B}"/>
    <dataValidation allowBlank="1" showInputMessage="1" showErrorMessage="1" prompt="A letra &quot;F&quot; indica falta devido a férias." sqref="C3" xr:uid="{0E4B26D3-3CAC-4B3D-8A2D-09BA73F3434C}"/>
    <dataValidation allowBlank="1" showInputMessage="1" showErrorMessage="1" prompt="O título atualizado automaticamente está nesta célula. Para modificar o título, atualize B1 na planilha Janeiro." sqref="B1" xr:uid="{1C99D6FD-3F96-469C-8B1C-7D5A101E99A2}"/>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BF307CEB-72D7-459D-A06F-C842CE0C5F4A}"/>
    <dataValidation allowBlank="1" showInputMessage="1" showErrorMessage="1" prompt="Calcula automaticamente o número total de dias em que um funcionário esteve ausente deste mês nesta coluna." sqref="AG7" xr:uid="{689D502A-5D97-B44F-AA8E-4AB5A8802DDE}"/>
    <dataValidation allowBlank="1" showInputMessage="1" showErrorMessage="1" prompt="Ano atualizado automaticamente com base no ano inserido na planilha de janeiro." sqref="AG5" xr:uid="{CA024147-D189-C949-8452-0A51ECF8D4AA}"/>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DEEC83F4-4C72-7D4D-B442-B00CC4990A25}"/>
  </dataValidations>
  <pageMargins left="0.7" right="0.7" top="0.75" bottom="0.75" header="0.3" footer="0.3"/>
  <pageSetup paperSize="9" fitToHeight="0" orientation="portrait" verticalDpi="4294967293" r:id="rId1"/>
  <ignoredErrors>
    <ignoredError sqref="AG8 AG10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7D92E49-5CF1-46DF-AD7A-3A5E92F274F3}">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E000000}">
          <x14:formula1>
            <xm:f>Diretores!$B$3:$B$7</xm:f>
          </x14:formula1>
          <xm:sqref>B8:B17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B1:AH18"/>
  <sheetViews>
    <sheetView showGridLines="0" topLeftCell="B4" zoomScale="112" zoomScaleNormal="112" workbookViewId="0">
      <selection activeCell="J17" sqref="J17"/>
    </sheetView>
  </sheetViews>
  <sheetFormatPr defaultColWidth="8.7109375" defaultRowHeight="30" customHeight="1"/>
  <cols>
    <col min="1" max="1" width="2.7109375" customWidth="1"/>
    <col min="2" max="2" width="33.42578125" bestFit="1" customWidth="1"/>
    <col min="3" max="3" width="5.42578125" customWidth="1"/>
    <col min="4" max="33" width="4.7109375" customWidth="1"/>
    <col min="34" max="34" width="14.85546875" customWidth="1"/>
    <col min="35" max="35" width="2.7109375" customWidth="1"/>
  </cols>
  <sheetData>
    <row r="1" spans="2:34" ht="61.5">
      <c r="B1" s="77" t="s">
        <v>75</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4" ht="30" customHeight="1">
      <c r="B3" s="24" t="s">
        <v>1</v>
      </c>
      <c r="C3" s="18" t="s">
        <v>2</v>
      </c>
      <c r="D3" s="78" t="s">
        <v>3</v>
      </c>
      <c r="E3" s="78"/>
      <c r="G3" s="73"/>
      <c r="H3" s="79"/>
      <c r="I3" s="79"/>
      <c r="J3" s="79"/>
      <c r="K3" s="79"/>
      <c r="M3" s="17" t="s">
        <v>4</v>
      </c>
      <c r="N3" s="78" t="s">
        <v>5</v>
      </c>
      <c r="O3" s="78"/>
      <c r="P3" s="34"/>
      <c r="Q3" s="38"/>
      <c r="R3" s="38"/>
      <c r="S3" s="38"/>
      <c r="T3" s="38"/>
      <c r="U3" s="32"/>
      <c r="V3" s="38"/>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4" ht="22.5" customHeight="1">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f>AnoCalendário</f>
        <v>2026</v>
      </c>
    </row>
    <row r="6" spans="2:34" ht="18" customHeight="1">
      <c r="B6" s="5"/>
      <c r="C6" s="15" t="str">
        <f>TEXT(WEEKDAY(DATE(AnoCalendário,12,1),1),"ddd")</f>
        <v>ter</v>
      </c>
      <c r="D6" s="15" t="str">
        <f>TEXT(WEEKDAY(DATE(AnoCalendário,12,2),1),"ddd")</f>
        <v>qua</v>
      </c>
      <c r="E6" s="15" t="str">
        <f>TEXT(WEEKDAY(DATE(AnoCalendário,12,3),1),"ddd")</f>
        <v>qui</v>
      </c>
      <c r="F6" s="15" t="str">
        <f>TEXT(WEEKDAY(DATE(AnoCalendário,12,4),1),"ddd")</f>
        <v>sex</v>
      </c>
      <c r="G6" s="15" t="str">
        <f>TEXT(WEEKDAY(DATE(AnoCalendário,12,5),1),"ddd")</f>
        <v>sáb</v>
      </c>
      <c r="H6" s="15" t="str">
        <f>TEXT(WEEKDAY(DATE(AnoCalendário,12,6),1),"ddd")</f>
        <v>dom</v>
      </c>
      <c r="I6" s="15" t="str">
        <f>TEXT(WEEKDAY(DATE(AnoCalendário,12,7),1),"ddd")</f>
        <v>seg</v>
      </c>
      <c r="J6" s="15" t="str">
        <f>TEXT(WEEKDAY(DATE(AnoCalendário,12,8),1),"ddd")</f>
        <v>ter</v>
      </c>
      <c r="K6" s="15" t="str">
        <f>TEXT(WEEKDAY(DATE(AnoCalendário,12,9),1),"ddd")</f>
        <v>qua</v>
      </c>
      <c r="L6" s="15" t="str">
        <f>TEXT(WEEKDAY(DATE(AnoCalendário,12,10),1),"ddd")</f>
        <v>qui</v>
      </c>
      <c r="M6" s="15" t="str">
        <f>TEXT(WEEKDAY(DATE(AnoCalendário,12,11),1),"ddd")</f>
        <v>sex</v>
      </c>
      <c r="N6" s="15" t="str">
        <f>TEXT(WEEKDAY(DATE(AnoCalendário,12,12),1),"ddd")</f>
        <v>sáb</v>
      </c>
      <c r="O6" s="15" t="str">
        <f>TEXT(WEEKDAY(DATE(AnoCalendário,12,13),1),"ddd")</f>
        <v>dom</v>
      </c>
      <c r="P6" s="15" t="str">
        <f>TEXT(WEEKDAY(DATE(AnoCalendário,12,14),1),"ddd")</f>
        <v>seg</v>
      </c>
      <c r="Q6" s="15" t="str">
        <f>TEXT(WEEKDAY(DATE(AnoCalendário,12,15),1),"ddd")</f>
        <v>ter</v>
      </c>
      <c r="R6" s="15" t="str">
        <f>TEXT(WEEKDAY(DATE(AnoCalendário,12,16),1),"ddd")</f>
        <v>qua</v>
      </c>
      <c r="S6" s="15" t="str">
        <f>TEXT(WEEKDAY(DATE(AnoCalendário,12,17),1),"ddd")</f>
        <v>qui</v>
      </c>
      <c r="T6" s="15" t="str">
        <f>TEXT(WEEKDAY(DATE(AnoCalendário,12,18),1),"ddd")</f>
        <v>sex</v>
      </c>
      <c r="U6" s="15" t="str">
        <f>TEXT(WEEKDAY(DATE(AnoCalendário,12,19),1),"ddd")</f>
        <v>sáb</v>
      </c>
      <c r="V6" s="15" t="str">
        <f>TEXT(WEEKDAY(DATE(AnoCalendário,12,20),1),"ddd")</f>
        <v>dom</v>
      </c>
      <c r="W6" s="15" t="str">
        <f>TEXT(WEEKDAY(DATE(AnoCalendário,12,21),1),"ddd")</f>
        <v>seg</v>
      </c>
      <c r="X6" s="15" t="str">
        <f>TEXT(WEEKDAY(DATE(AnoCalendário,12,22),1),"ddd")</f>
        <v>ter</v>
      </c>
      <c r="Y6" s="15" t="str">
        <f>TEXT(WEEKDAY(DATE(AnoCalendário,12,23),1),"ddd")</f>
        <v>qua</v>
      </c>
      <c r="Z6" s="15" t="str">
        <f>TEXT(WEEKDAY(DATE(AnoCalendário,12,24),1),"ddd")</f>
        <v>qui</v>
      </c>
      <c r="AA6" s="15" t="str">
        <f>TEXT(WEEKDAY(DATE(AnoCalendário,12,25),1),"ddd")</f>
        <v>sex</v>
      </c>
      <c r="AB6" s="15" t="str">
        <f>TEXT(WEEKDAY(DATE(AnoCalendário,12,26),1),"ddd")</f>
        <v>sáb</v>
      </c>
      <c r="AC6" s="15" t="str">
        <f>TEXT(WEEKDAY(DATE(AnoCalendário,12,27),1),"ddd")</f>
        <v>dom</v>
      </c>
      <c r="AD6" s="15" t="str">
        <f>TEXT(WEEKDAY(DATE(AnoCalendário,12,28),1),"ddd")</f>
        <v>seg</v>
      </c>
      <c r="AE6" s="15" t="str">
        <f>TEXT(WEEKDAY(DATE(AnoCalendário,12,29),1),"ddd")</f>
        <v>ter</v>
      </c>
      <c r="AF6" s="15" t="str">
        <f>TEXT(WEEKDAY(DATE(AnoCalendário,12,30),1),"ddd")</f>
        <v>qua</v>
      </c>
      <c r="AG6" s="15" t="str">
        <f>TEXT(WEEKDAY(DATE(AnoCalendário,12,31),1),"ddd")</f>
        <v>qui</v>
      </c>
      <c r="AH6" s="5"/>
    </row>
    <row r="7" spans="2:34"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row>
    <row r="8" spans="2:34" ht="30" customHeight="1">
      <c r="B8" s="2" t="s">
        <v>39</v>
      </c>
      <c r="C8" s="1"/>
      <c r="D8" s="1" t="s">
        <v>2</v>
      </c>
      <c r="E8" s="1" t="s">
        <v>2</v>
      </c>
      <c r="F8" s="1" t="s">
        <v>2</v>
      </c>
      <c r="G8" s="1" t="s">
        <v>2</v>
      </c>
      <c r="H8" s="1" t="s">
        <v>2</v>
      </c>
      <c r="I8" s="1" t="s">
        <v>2</v>
      </c>
      <c r="J8" s="1" t="s">
        <v>2</v>
      </c>
      <c r="K8" s="1" t="s">
        <v>2</v>
      </c>
      <c r="L8" s="1" t="s">
        <v>2</v>
      </c>
      <c r="M8" s="1" t="s">
        <v>2</v>
      </c>
      <c r="N8" s="1" t="s">
        <v>2</v>
      </c>
      <c r="O8" s="1" t="s">
        <v>2</v>
      </c>
      <c r="P8" s="1" t="s">
        <v>2</v>
      </c>
      <c r="Q8" s="1" t="s">
        <v>2</v>
      </c>
      <c r="R8" s="1" t="s">
        <v>2</v>
      </c>
      <c r="S8" s="1" t="s">
        <v>2</v>
      </c>
      <c r="T8" s="1" t="s">
        <v>2</v>
      </c>
      <c r="U8" s="1"/>
      <c r="V8" s="1"/>
      <c r="W8" s="1"/>
      <c r="X8" s="1"/>
      <c r="Y8" s="1"/>
      <c r="Z8" s="1"/>
      <c r="AA8" s="1"/>
      <c r="AB8" s="1"/>
      <c r="AC8" s="1"/>
      <c r="AD8" s="1"/>
      <c r="AE8" s="1"/>
      <c r="AF8" s="1"/>
      <c r="AG8" s="1"/>
      <c r="AH8" s="3">
        <f>COUNTA(Dezembro[[#This Row],[1]:[31]])</f>
        <v>17</v>
      </c>
    </row>
    <row r="9" spans="2:34" ht="27.75" customHeight="1">
      <c r="B9" s="36"/>
      <c r="D9" t="s">
        <v>76</v>
      </c>
      <c r="E9" s="1"/>
      <c r="F9" s="1"/>
      <c r="G9" s="1"/>
      <c r="H9" s="1"/>
      <c r="I9" s="1"/>
      <c r="J9" s="1"/>
      <c r="K9" s="1"/>
      <c r="L9" s="1"/>
      <c r="M9" s="1"/>
      <c r="P9" s="1"/>
      <c r="S9" s="1"/>
      <c r="T9" s="1"/>
      <c r="U9" s="1"/>
      <c r="V9" s="1"/>
      <c r="W9" s="1"/>
      <c r="X9" s="1"/>
      <c r="Y9" s="1"/>
      <c r="Z9" s="1"/>
      <c r="AA9" s="1"/>
      <c r="AB9" s="1"/>
      <c r="AC9" s="1"/>
      <c r="AD9" s="1"/>
      <c r="AE9" s="1"/>
      <c r="AF9" s="1"/>
      <c r="AG9" s="37"/>
      <c r="AH9" s="3"/>
    </row>
    <row r="10" spans="2:34"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COUNTA(Dezembro[[#This Row],[1]:[31]])</f>
        <v>0</v>
      </c>
    </row>
    <row r="11" spans="2:34" ht="25.5" customHeight="1">
      <c r="B11" s="36"/>
      <c r="C11" s="1"/>
      <c r="D11" s="1"/>
      <c r="E11" s="1"/>
      <c r="F11" s="1"/>
      <c r="G11" s="1"/>
      <c r="H11" s="1"/>
      <c r="J11" s="1"/>
      <c r="K11" s="1"/>
      <c r="L11" s="1"/>
      <c r="M11" s="1"/>
      <c r="N11" s="1"/>
      <c r="P11" s="1"/>
      <c r="T11" s="1"/>
      <c r="U11" s="1"/>
      <c r="V11" s="1"/>
      <c r="W11" s="1"/>
      <c r="X11" s="1"/>
      <c r="Y11" s="1"/>
      <c r="Z11" s="1"/>
      <c r="AB11" s="1"/>
      <c r="AC11" s="1"/>
      <c r="AD11" s="1"/>
      <c r="AE11" s="1"/>
      <c r="AG11" s="37"/>
      <c r="AH11" s="3"/>
    </row>
    <row r="12" spans="2:34" ht="30" customHeight="1">
      <c r="B12" s="2" t="s">
        <v>42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t="s">
        <v>2</v>
      </c>
      <c r="AG12" s="1" t="s">
        <v>2</v>
      </c>
      <c r="AH12" s="3">
        <f>COUNTA(Dezembro[[#This Row],[1]:[31]])</f>
        <v>2</v>
      </c>
    </row>
    <row r="13" spans="2:34" ht="27" customHeight="1">
      <c r="B13" s="36"/>
      <c r="D13" s="1"/>
      <c r="E13" s="1"/>
      <c r="F13" s="1"/>
      <c r="G13" s="1"/>
      <c r="H13" s="1"/>
      <c r="I13" s="1"/>
      <c r="K13" s="1"/>
      <c r="L13" s="1"/>
      <c r="M13" s="1"/>
      <c r="N13" s="1"/>
      <c r="O13" s="1"/>
      <c r="P13" s="1"/>
      <c r="Q13" s="1"/>
      <c r="R13" s="1"/>
      <c r="S13" s="1"/>
      <c r="T13" s="1"/>
      <c r="U13" s="1"/>
      <c r="V13" s="1"/>
      <c r="W13" s="1"/>
      <c r="X13" s="1"/>
      <c r="Y13" s="1"/>
      <c r="Z13" s="1"/>
      <c r="AA13" s="1"/>
      <c r="AB13" s="1"/>
      <c r="AC13" s="1"/>
      <c r="AD13" s="1" t="s">
        <v>77</v>
      </c>
      <c r="AE13" s="1"/>
      <c r="AF13" s="1"/>
      <c r="AG13" s="37"/>
      <c r="AH13" s="3"/>
    </row>
    <row r="14" spans="2:34" ht="30" customHeight="1">
      <c r="B14" s="2" t="s">
        <v>64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COUNTA(Dezembro[[#This Row],[1]:[31]])</f>
        <v>0</v>
      </c>
    </row>
    <row r="15" spans="2:34" ht="24.75" customHeight="1">
      <c r="B15" s="3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7"/>
      <c r="AH15" s="3"/>
    </row>
    <row r="16" spans="2:34" ht="29.25"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COUNTA(Dezembro[[#This Row],[1]:[31]])</f>
        <v>0</v>
      </c>
    </row>
    <row r="17" spans="2:34" ht="25.5" customHeight="1">
      <c r="B17" s="36"/>
      <c r="C17" s="1"/>
      <c r="D17" s="1"/>
      <c r="E17" s="1"/>
      <c r="F17" s="1"/>
      <c r="G17" s="1"/>
      <c r="H17" s="1"/>
      <c r="I17" s="1"/>
      <c r="J17" s="1"/>
      <c r="K17" s="1"/>
      <c r="L17" s="1"/>
      <c r="M17" s="1"/>
      <c r="N17" s="1"/>
      <c r="O17" s="1"/>
      <c r="P17" s="1"/>
      <c r="Q17" s="1"/>
      <c r="R17" s="1"/>
      <c r="S17" s="1"/>
      <c r="T17" s="1"/>
      <c r="U17" s="1"/>
      <c r="V17" s="1"/>
      <c r="W17" s="1"/>
      <c r="X17" s="1"/>
      <c r="Y17" s="1"/>
      <c r="Z17" s="1"/>
      <c r="AA17" s="1"/>
      <c r="AB17" s="23"/>
      <c r="AC17" s="1"/>
      <c r="AD17" s="1"/>
      <c r="AE17" s="1"/>
      <c r="AF17" s="1"/>
      <c r="AG17" s="37"/>
      <c r="AH17" s="3"/>
    </row>
    <row r="18" spans="2:34" ht="30" customHeight="1">
      <c r="B18" s="1" t="s">
        <v>48</v>
      </c>
      <c r="C18" s="4">
        <f t="shared" ref="C18:AG18" si="0">COUNTA(C8,C10,C12,C14,C16)</f>
        <v>0</v>
      </c>
      <c r="D18" s="4">
        <f t="shared" si="0"/>
        <v>1</v>
      </c>
      <c r="E18" s="4">
        <f t="shared" si="0"/>
        <v>1</v>
      </c>
      <c r="F18" s="4">
        <f t="shared" si="0"/>
        <v>1</v>
      </c>
      <c r="G18" s="4">
        <f t="shared" si="0"/>
        <v>1</v>
      </c>
      <c r="H18" s="4">
        <f t="shared" si="0"/>
        <v>1</v>
      </c>
      <c r="I18" s="4">
        <f t="shared" si="0"/>
        <v>1</v>
      </c>
      <c r="J18" s="4">
        <f t="shared" si="0"/>
        <v>1</v>
      </c>
      <c r="K18" s="4">
        <f t="shared" si="0"/>
        <v>1</v>
      </c>
      <c r="L18" s="4">
        <f t="shared" si="0"/>
        <v>1</v>
      </c>
      <c r="M18" s="4">
        <f t="shared" si="0"/>
        <v>1</v>
      </c>
      <c r="N18" s="4">
        <f t="shared" si="0"/>
        <v>1</v>
      </c>
      <c r="O18" s="4">
        <f t="shared" si="0"/>
        <v>1</v>
      </c>
      <c r="P18" s="4">
        <f t="shared" si="0"/>
        <v>1</v>
      </c>
      <c r="Q18" s="4">
        <f t="shared" si="0"/>
        <v>1</v>
      </c>
      <c r="R18" s="4">
        <f t="shared" si="0"/>
        <v>1</v>
      </c>
      <c r="S18" s="4">
        <f t="shared" si="0"/>
        <v>1</v>
      </c>
      <c r="T18" s="4">
        <f t="shared" si="0"/>
        <v>1</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1</v>
      </c>
      <c r="AG18" s="4">
        <f t="shared" si="0"/>
        <v>1</v>
      </c>
      <c r="AH18" s="4"/>
    </row>
  </sheetData>
  <mergeCells count="5">
    <mergeCell ref="B1:AH1"/>
    <mergeCell ref="D3:E3"/>
    <mergeCell ref="H3:K3"/>
    <mergeCell ref="N3:O3"/>
    <mergeCell ref="C5:AG5"/>
  </mergeCells>
  <phoneticPr fontId="26" type="noConversion"/>
  <conditionalFormatting sqref="C8:AG16 C17:AA17 AC17:AG17">
    <cfRule type="cellIs" dxfId="89" priority="11" operator="equal">
      <formula>"L"</formula>
    </cfRule>
    <cfRule type="cellIs" dxfId="88" priority="12" operator="equal">
      <formula>"A"</formula>
    </cfRule>
    <cfRule type="expression" priority="13" stopIfTrue="1">
      <formula>C8=""</formula>
    </cfRule>
    <cfRule type="expression" dxfId="87" priority="14" stopIfTrue="1">
      <formula>C8=ChavePersonalizada2</formula>
    </cfRule>
    <cfRule type="expression" dxfId="86" priority="15" stopIfTrue="1">
      <formula>C8=ChavePersonalizada1</formula>
    </cfRule>
    <cfRule type="expression" dxfId="85" priority="16" stopIfTrue="1">
      <formula>C8=ChaveLicençaMédica</formula>
    </cfRule>
    <cfRule type="expression" dxfId="84" priority="17" stopIfTrue="1">
      <formula>C8=ChavePessoal</formula>
    </cfRule>
    <cfRule type="expression" dxfId="83" priority="18" stopIfTrue="1">
      <formula>C8=ChaveFérias</formula>
    </cfRule>
  </conditionalFormatting>
  <conditionalFormatting sqref="AB17">
    <cfRule type="cellIs" dxfId="82" priority="1" operator="equal">
      <formula>"L"</formula>
    </cfRule>
    <cfRule type="cellIs" dxfId="81" priority="2" operator="equal">
      <formula>"A"</formula>
    </cfRule>
    <cfRule type="cellIs" dxfId="80" priority="3" operator="equal">
      <formula>"A"</formula>
    </cfRule>
    <cfRule type="cellIs" dxfId="79" priority="4" operator="equal">
      <formula>"A"</formula>
    </cfRule>
    <cfRule type="expression" priority="5" stopIfTrue="1">
      <formula>AB17=""</formula>
    </cfRule>
    <cfRule type="expression" dxfId="78" priority="6" stopIfTrue="1">
      <formula>AB17=ChavePersonalizada2</formula>
    </cfRule>
    <cfRule type="expression" dxfId="77" priority="7" stopIfTrue="1">
      <formula>AB17=ChavePersonalizada1</formula>
    </cfRule>
    <cfRule type="expression" dxfId="76" priority="8" stopIfTrue="1">
      <formula>AB17=ChaveLicençaMédica</formula>
    </cfRule>
    <cfRule type="expression" dxfId="75" priority="9" stopIfTrue="1">
      <formula>AB17=ChavePessoal</formula>
    </cfRule>
    <cfRule type="expression" dxfId="74" priority="10" stopIfTrue="1">
      <formula>AB17=ChaveFérias</formula>
    </cfRule>
  </conditionalFormatting>
  <conditionalFormatting sqref="AH8:AH17">
    <cfRule type="dataBar" priority="209">
      <dataBar>
        <cfvo type="min"/>
        <cfvo type="formula" val="DATEDIF(DATE(AnoCalendário,2,1),DATE(AnoCalendário,3,1),&quot;d&quot;)"/>
        <color theme="2" tint="-0.249977111117893"/>
      </dataBar>
      <extLst>
        <ext xmlns:x14="http://schemas.microsoft.com/office/spreadsheetml/2009/9/main" uri="{B025F937-C7B1-47D3-B67F-A62EFF666E3E}">
          <x14:id>{17586780-365B-4F4C-BBB4-F5991705D361}</x14:id>
        </ext>
      </extLst>
    </cfRule>
  </conditionalFormatting>
  <dataValidations count="13">
    <dataValidation allowBlank="1" showInputMessage="1" showErrorMessage="1" prompt="Ano atualizado automaticamente com base no ano inserido na planilha de janeiro." sqref="AH5" xr:uid="{F939E1BE-E9C7-DD4A-972C-CB40EF785EA4}"/>
    <dataValidation allowBlank="1" showInputMessage="1" showErrorMessage="1" prompt="Calcula automaticamente o número total de dias em que um funcionário esteve ausente deste mês nesta coluna." sqref="AH7" xr:uid="{E810E773-697E-9042-BA14-6FFBF70DB80B}"/>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6F39E281-C811-4064-A913-268FF831B613}"/>
    <dataValidation allowBlank="1" showInputMessage="1" showErrorMessage="1" prompt="A letra &quot;F&quot; indica falta devido a férias." sqref="C3" xr:uid="{E5A3B99A-78EC-45EA-9D65-8D718F227BEC}"/>
    <dataValidation allowBlank="1" showInputMessage="1" showErrorMessage="1" prompt="A letra &quot;P&quot; indica falta devido a motivos pessoais." sqref="G3" xr:uid="{D98AA4D0-999B-4736-899F-937FCC8B9A7F}"/>
    <dataValidation allowBlank="1" showInputMessage="1" showErrorMessage="1" prompt="A letra &quot;L&quot; indica falta devido à licença médica." sqref="M3" xr:uid="{2DC48FB3-F9E5-4690-81FD-704929972EE7}"/>
    <dataValidation allowBlank="1" showInputMessage="1" showErrorMessage="1" prompt="Insira uma letra e personalize o rótulo à direita para adicionar outro item de chave." sqref="U3" xr:uid="{A4B2832F-3398-4A46-A6A7-231AE750AE02}"/>
    <dataValidation allowBlank="1" showInputMessage="1" showErrorMessage="1" prompt="Insira um rótulo para descrever a chave personalizada à esquerda." sqref="V3 Q3" xr:uid="{473235B9-9FC0-4410-B460-D8BA0DB46004}"/>
    <dataValidation allowBlank="1" showInputMessage="1" showErrorMessage="1" prompt="O nome do mês para essa agenda de faltas está nesta célula. Os totais de faltas deste mês estão na última célula da tabela. Selecione os nomes dos funcionários na tabela B." sqref="B1" xr:uid="{1F94A4DB-AA5A-4B06-B0EB-BA18E084CE07}"/>
    <dataValidation allowBlank="1" showInputMessage="1" showErrorMessage="1" prompt="Os dias do mês nesta linha são gerados automaticamente. Insira a falta e o tipo de falta de um funcionário em cada coluna de cada dia do mês. Espaço vazio significa sem faltas." sqref="C7" xr:uid="{0482EFB3-0A55-4547-B0F2-69F4B25A0231}"/>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CB1E42E3-65E1-5041-91B2-633C92F4BB63}"/>
    <dataValidation allowBlank="1" showInputMessage="1" showErrorMessage="1" prompt="Esta linha define as chaves utilizadas na tabela: a célula C4 é Férias, G4 é Pessoal e K4 é Licença médica. As células N4 e R4 são personalizáveis " sqref="B3" xr:uid="{060EF080-5495-4927-979D-CA4728392AC3}"/>
    <dataValidation allowBlank="1" showInputMessage="1" showErrorMessage="1" prompt="O título atualizado automaticamente está nesta célula. Para modificar o título, atualize B1 na planilha Janeiro." sqref="B1" xr:uid="{F30DC8E7-583C-4EC7-812E-2371610EB47F}"/>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E000000}">
          <x14:formula1>
            <xm:f>Diretores!$B$3:$B$7</xm:f>
          </x14:formula1>
          <xm:sqref>B8:B17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B1:B7"/>
  <sheetViews>
    <sheetView showGridLines="0" workbookViewId="0">
      <selection activeCell="B10" sqref="B10"/>
    </sheetView>
  </sheetViews>
  <sheetFormatPr defaultColWidth="8.7109375" defaultRowHeight="30" customHeight="1"/>
  <cols>
    <col min="1" max="1" width="3.28515625" customWidth="1"/>
    <col min="2" max="2" width="45.140625" customWidth="1"/>
    <col min="3" max="3" width="14.85546875" customWidth="1"/>
  </cols>
  <sheetData>
    <row r="1" spans="2:2" ht="15" customHeight="1"/>
    <row r="2" spans="2:2" ht="30" customHeight="1">
      <c r="B2" s="42" t="s">
        <v>6</v>
      </c>
    </row>
    <row r="3" spans="2:2" ht="30" customHeight="1">
      <c r="B3" s="43" t="s">
        <v>39</v>
      </c>
    </row>
    <row r="4" spans="2:2" ht="30" customHeight="1">
      <c r="B4" s="43" t="s">
        <v>42</v>
      </c>
    </row>
    <row r="5" spans="2:2" ht="30" customHeight="1">
      <c r="B5" s="43" t="s">
        <v>41</v>
      </c>
    </row>
    <row r="6" spans="2:2" ht="30" customHeight="1">
      <c r="B6" s="43" t="s">
        <v>64</v>
      </c>
    </row>
    <row r="7" spans="2:2" ht="30" customHeight="1">
      <c r="B7" s="44" t="s">
        <v>46</v>
      </c>
    </row>
  </sheetData>
  <phoneticPr fontId="26" type="noConversion"/>
  <dataValidations count="1">
    <dataValidation allowBlank="1" showInputMessage="1" showErrorMessage="1" prompt="Insira os nomes dos funcionários nesta coluna." sqref="B2" xr:uid="{00000000-0002-0000-0C00-000002000000}"/>
  </dataValidations>
  <pageMargins left="0.7" right="0.7" top="0.75" bottom="0.75" header="0.3" footer="0.3"/>
  <pageSetup paperSize="9" orientation="portrait" horizontalDpi="200" verticalDpi="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5E0B-5E9D-45C2-BAC1-3150B3BBD753}">
  <sheetPr>
    <tabColor theme="6" tint="0.39997558519241921"/>
  </sheetPr>
  <dimension ref="B2:S8"/>
  <sheetViews>
    <sheetView showGridLines="0" workbookViewId="0">
      <selection activeCell="B16" sqref="B16"/>
    </sheetView>
  </sheetViews>
  <sheetFormatPr defaultRowHeight="15"/>
  <cols>
    <col min="1" max="1" width="9.140625" style="25"/>
    <col min="2" max="2" width="30.85546875" style="25" bestFit="1" customWidth="1"/>
    <col min="3" max="3" width="7.42578125" style="25" bestFit="1" customWidth="1"/>
    <col min="4" max="4" width="9.5703125" style="25" bestFit="1" customWidth="1"/>
    <col min="5" max="5" width="6.5703125" style="25" bestFit="1" customWidth="1"/>
    <col min="6" max="6" width="5.28515625" style="25" bestFit="1" customWidth="1"/>
    <col min="7" max="7" width="5.5703125" style="25" bestFit="1" customWidth="1"/>
    <col min="8" max="8" width="6.28515625" style="25" bestFit="1" customWidth="1"/>
    <col min="9" max="9" width="5.7109375" style="25" bestFit="1" customWidth="1"/>
    <col min="10" max="10" width="7.140625" style="25" bestFit="1" customWidth="1"/>
    <col min="11" max="11" width="9.7109375" style="25" bestFit="1" customWidth="1"/>
    <col min="12" max="12" width="8.42578125" style="25" bestFit="1" customWidth="1"/>
    <col min="13" max="13" width="10.42578125" style="25" bestFit="1" customWidth="1"/>
    <col min="14" max="14" width="10.140625" style="25" bestFit="1" customWidth="1"/>
    <col min="15" max="15" width="5.42578125" style="25" bestFit="1" customWidth="1"/>
    <col min="16" max="16" width="30.7109375" style="25" customWidth="1"/>
    <col min="17" max="17" width="9.140625" style="25"/>
    <col min="18" max="18" width="20" style="25" hidden="1" customWidth="1"/>
    <col min="19" max="19" width="0" style="25" hidden="1" customWidth="1"/>
    <col min="20" max="16384" width="9.140625" style="25"/>
  </cols>
  <sheetData>
    <row r="2" spans="2:19">
      <c r="B2" s="86" t="s">
        <v>78</v>
      </c>
      <c r="C2" s="87"/>
      <c r="D2" s="87"/>
      <c r="E2" s="87"/>
      <c r="F2" s="87"/>
      <c r="G2" s="87"/>
      <c r="H2" s="87"/>
      <c r="I2" s="87"/>
      <c r="J2" s="87"/>
      <c r="K2" s="87"/>
      <c r="L2" s="87"/>
      <c r="M2" s="87"/>
      <c r="N2" s="87"/>
      <c r="O2" s="87"/>
      <c r="P2" s="88"/>
      <c r="R2" s="26" t="s">
        <v>79</v>
      </c>
      <c r="S2" s="26">
        <v>253</v>
      </c>
    </row>
    <row r="3" spans="2:19">
      <c r="B3" s="45" t="s">
        <v>80</v>
      </c>
      <c r="C3" s="45" t="s">
        <v>81</v>
      </c>
      <c r="D3" s="45" t="s">
        <v>82</v>
      </c>
      <c r="E3" s="45" t="s">
        <v>83</v>
      </c>
      <c r="F3" s="45" t="s">
        <v>84</v>
      </c>
      <c r="G3" s="45" t="s">
        <v>85</v>
      </c>
      <c r="H3" s="45" t="s">
        <v>86</v>
      </c>
      <c r="I3" s="45" t="s">
        <v>87</v>
      </c>
      <c r="J3" s="45" t="s">
        <v>88</v>
      </c>
      <c r="K3" s="45" t="s">
        <v>89</v>
      </c>
      <c r="L3" s="45" t="s">
        <v>90</v>
      </c>
      <c r="M3" s="45" t="s">
        <v>91</v>
      </c>
      <c r="N3" s="45" t="s">
        <v>92</v>
      </c>
      <c r="O3" s="46" t="s">
        <v>93</v>
      </c>
      <c r="P3" s="46" t="s">
        <v>94</v>
      </c>
    </row>
    <row r="4" spans="2:19">
      <c r="B4" s="28" t="s">
        <v>39</v>
      </c>
      <c r="C4" s="29">
        <v>0</v>
      </c>
      <c r="D4" s="29">
        <f>COUNTIF(Fevereiro!C8:AE8,"A")</f>
        <v>0</v>
      </c>
      <c r="E4" s="29">
        <f>COUNTIF(Março!C8:AG8,"A")</f>
        <v>0</v>
      </c>
      <c r="F4" s="29">
        <f>COUNTIF(Abril!C8:AF8,"A")</f>
        <v>0</v>
      </c>
      <c r="G4" s="29">
        <f>COUNTIF(Maio!C8:AG8,"A")</f>
        <v>0</v>
      </c>
      <c r="H4" s="29">
        <f>COUNTIF(Junho!C8:AF8,"A")</f>
        <v>0</v>
      </c>
      <c r="I4" s="29">
        <f>COUNTIF(Julho!C8:AG8,"A")</f>
        <v>0</v>
      </c>
      <c r="J4" s="29">
        <f>COUNTIF(Agosto!C8:AG8,"A")</f>
        <v>0</v>
      </c>
      <c r="K4" s="29">
        <f>COUNTIF(Setembro!C8:AF8,"A")</f>
        <v>0</v>
      </c>
      <c r="L4" s="29">
        <f>COUNTIF(Outubro!C8:AG8,"A")</f>
        <v>0</v>
      </c>
      <c r="M4" s="29">
        <f>COUNTIF(Novembro!C8:AF8,"A")</f>
        <v>0</v>
      </c>
      <c r="N4" s="29">
        <f>COUNTIF(Dezembro!C8:AG8,"A")</f>
        <v>0</v>
      </c>
      <c r="O4" s="27">
        <f>SUM(C4:N4)</f>
        <v>0</v>
      </c>
      <c r="P4" s="30">
        <f>O4/S2</f>
        <v>0</v>
      </c>
    </row>
    <row r="5" spans="2:19">
      <c r="B5" s="47" t="s">
        <v>41</v>
      </c>
      <c r="C5" s="48">
        <f>COUNTIF(Janeiro!C10:AG10,"A")</f>
        <v>0</v>
      </c>
      <c r="D5" s="48">
        <f>COUNTIF(Fevereiro!C10:AE10,"A")</f>
        <v>0</v>
      </c>
      <c r="E5" s="48">
        <f>COUNTIF(Março!C10:AG10,"A")</f>
        <v>0</v>
      </c>
      <c r="F5" s="48">
        <f>COUNTIF(Abril!C10:AF10,"A")</f>
        <v>0</v>
      </c>
      <c r="G5" s="48">
        <f>COUNTIF(Maio!C10:AG10,"A")</f>
        <v>0</v>
      </c>
      <c r="H5" s="48">
        <f>COUNTIF(Junho!C10:AF10,"A")</f>
        <v>0</v>
      </c>
      <c r="I5" s="48">
        <f>COUNTIF(Julho!C10:AG10,"A")</f>
        <v>0</v>
      </c>
      <c r="J5" s="48">
        <f>COUNTIF(Agosto!C10:AG10,"A")</f>
        <v>0</v>
      </c>
      <c r="K5" s="48">
        <f>COUNTIF(Setembro!C10:AF10,"A")</f>
        <v>0</v>
      </c>
      <c r="L5" s="48">
        <f>COUNTIF(Outubro!C10:AG10,"A")</f>
        <v>0</v>
      </c>
      <c r="M5" s="48">
        <f>COUNTIF(Novembro!C10:AF10,"A")</f>
        <v>0</v>
      </c>
      <c r="N5" s="48">
        <f>COUNTIF(Dezembro!C10:AG10,"A")</f>
        <v>0</v>
      </c>
      <c r="O5" s="49">
        <f>SUM(C5:N5)</f>
        <v>0</v>
      </c>
      <c r="P5" s="50">
        <f>O5/S2</f>
        <v>0</v>
      </c>
    </row>
    <row r="6" spans="2:19">
      <c r="B6" s="28" t="s">
        <v>42</v>
      </c>
      <c r="C6" s="29">
        <f>COUNTIF(Janeiro!C12:AG12,"A")</f>
        <v>0</v>
      </c>
      <c r="D6" s="29">
        <f>COUNTIF(Fevereiro!C12:AE12,"A")</f>
        <v>0</v>
      </c>
      <c r="E6" s="29">
        <f>COUNTIF(Março!C12:AG12,"A")</f>
        <v>0</v>
      </c>
      <c r="F6" s="29">
        <f>COUNTIF(Abril!C12:AF12,"A")</f>
        <v>0</v>
      </c>
      <c r="G6" s="29">
        <f>COUNTIF(Maio!C12:AG12,"A")</f>
        <v>0</v>
      </c>
      <c r="H6" s="29">
        <f>COUNTIF(Junho!C12:AF12,"A")</f>
        <v>0</v>
      </c>
      <c r="I6" s="29">
        <f>COUNTIF(Julho!C12:AG12,"A")</f>
        <v>0</v>
      </c>
      <c r="J6" s="29">
        <f>COUNTIF(Agosto!C12:AG12,"A")</f>
        <v>0</v>
      </c>
      <c r="K6" s="29">
        <f>COUNTIF(Setembro!C12:AF12,"A")</f>
        <v>0</v>
      </c>
      <c r="L6" s="29">
        <f>COUNTIF(Outubro!C12:AG12,"A")</f>
        <v>0</v>
      </c>
      <c r="M6" s="29">
        <f>COUNTIF(Novembro!C12:AF12,"A")</f>
        <v>0</v>
      </c>
      <c r="N6" s="29">
        <f>COUNTIF(Dezembro!C12:AG12,"A")</f>
        <v>0</v>
      </c>
      <c r="O6" s="27">
        <f>SUM(C6:N6)</f>
        <v>0</v>
      </c>
      <c r="P6" s="30">
        <f>O6/S2</f>
        <v>0</v>
      </c>
    </row>
    <row r="7" spans="2:19">
      <c r="B7" s="47" t="s">
        <v>44</v>
      </c>
      <c r="C7" s="48">
        <f>COUNTIF(Janeiro!C14:AG14,"A")</f>
        <v>0</v>
      </c>
      <c r="D7" s="48">
        <f>COUNTIF(Fevereiro!C14:AE14,"A")</f>
        <v>0</v>
      </c>
      <c r="E7" s="48">
        <f>COUNTIF(Março!C14:AG14,"A")</f>
        <v>0</v>
      </c>
      <c r="F7" s="48">
        <f>COUNTIF(Abril!C14:AF14,"A")</f>
        <v>0</v>
      </c>
      <c r="G7" s="48">
        <f>COUNTIF(Maio!C14:AG14,"A")</f>
        <v>0</v>
      </c>
      <c r="H7" s="48">
        <f>COUNTIF(Junho!C14:AF14,"A")</f>
        <v>0</v>
      </c>
      <c r="I7" s="48">
        <f>COUNTIF(Julho!C14:AG14,"A")</f>
        <v>0</v>
      </c>
      <c r="J7" s="48">
        <f>COUNTIF(Agosto!C14:AG14,"A")</f>
        <v>0</v>
      </c>
      <c r="K7" s="48">
        <f>COUNTIF(Setembro!C14:AF14,"A")</f>
        <v>0</v>
      </c>
      <c r="L7" s="48">
        <f>COUNTIF(Outubro!C14:AG14,"A")</f>
        <v>0</v>
      </c>
      <c r="M7" s="48">
        <f>COUNTIF(Novembro!C14:AF14,"A")</f>
        <v>0</v>
      </c>
      <c r="N7" s="48">
        <f>COUNTIF(Dezembro!C14:AG14,"A")</f>
        <v>0</v>
      </c>
      <c r="O7" s="49">
        <f>SUM(C7:N7)</f>
        <v>0</v>
      </c>
      <c r="P7" s="50">
        <f>O7/S2</f>
        <v>0</v>
      </c>
    </row>
    <row r="8" spans="2:19">
      <c r="B8" s="28" t="s">
        <v>46</v>
      </c>
      <c r="C8" s="29">
        <f>COUNTIF(Janeiro!C16:AG16,"A")</f>
        <v>0</v>
      </c>
      <c r="D8" s="29">
        <f>COUNTIF(Fevereiro!C16:AE16,"A")</f>
        <v>0</v>
      </c>
      <c r="E8" s="29">
        <f>COUNTIF(Março!C16:AG16,"A")</f>
        <v>0</v>
      </c>
      <c r="F8" s="29">
        <f>COUNTIF(Abril!C16:AF16,"A")</f>
        <v>0</v>
      </c>
      <c r="G8" s="29">
        <f>COUNTIF(Maio!C16:AG16,"A")</f>
        <v>0</v>
      </c>
      <c r="H8" s="29">
        <f>COUNTIF(Junho!C16:AF16,"A")</f>
        <v>0</v>
      </c>
      <c r="I8" s="29">
        <f>COUNTIF(Julho!C16:AG16,"A")</f>
        <v>0</v>
      </c>
      <c r="J8" s="29">
        <f>COUNTIF(Agosto!C16:AG16,"A")</f>
        <v>0</v>
      </c>
      <c r="K8" s="29">
        <f>COUNTIF(Setembro!C16:AF16,"A")</f>
        <v>0</v>
      </c>
      <c r="L8" s="29">
        <f>COUNTIF(Outubro!C16:AG16,"A")</f>
        <v>0</v>
      </c>
      <c r="M8" s="29">
        <f>COUNTIF(Novembro!C16:AF16,"A")</f>
        <v>0</v>
      </c>
      <c r="N8" s="29">
        <f>COUNTIF(Dezembro!C16:AG16,"A")</f>
        <v>0</v>
      </c>
      <c r="O8" s="27">
        <f>SUM(C8:N8)</f>
        <v>0</v>
      </c>
      <c r="P8" s="30">
        <f>O8/S2</f>
        <v>0</v>
      </c>
    </row>
  </sheetData>
  <mergeCells count="1">
    <mergeCell ref="B2:P2"/>
  </mergeCells>
  <phoneticPr fontId="29" type="noConversion"/>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6CDA-D50C-4A6B-824B-2E0BE5ACE2A3}">
  <sheetPr>
    <tabColor rgb="FFFF0000"/>
  </sheetPr>
  <dimension ref="A1:A15"/>
  <sheetViews>
    <sheetView workbookViewId="0"/>
  </sheetViews>
  <sheetFormatPr defaultRowHeight="12.75"/>
  <cols>
    <col min="1" max="1" width="154.28515625" style="51" customWidth="1"/>
    <col min="2" max="16384" width="9.140625" style="51"/>
  </cols>
  <sheetData>
    <row r="1" spans="1:1">
      <c r="A1" s="53" t="s">
        <v>95</v>
      </c>
    </row>
    <row r="3" spans="1:1">
      <c r="A3" s="53" t="s">
        <v>96</v>
      </c>
    </row>
    <row r="4" spans="1:1" ht="26.25" customHeight="1">
      <c r="A4" s="52" t="s">
        <v>97</v>
      </c>
    </row>
    <row r="5" spans="1:1" ht="30.75" customHeight="1">
      <c r="A5" s="52" t="s">
        <v>98</v>
      </c>
    </row>
    <row r="6" spans="1:1" ht="27.75" customHeight="1">
      <c r="A6" s="52" t="s">
        <v>99</v>
      </c>
    </row>
    <row r="7" spans="1:1" ht="30" customHeight="1">
      <c r="A7" s="52" t="s">
        <v>100</v>
      </c>
    </row>
    <row r="8" spans="1:1" ht="24.75" customHeight="1">
      <c r="A8" s="52" t="s">
        <v>101</v>
      </c>
    </row>
    <row r="9" spans="1:1" ht="39" customHeight="1">
      <c r="A9" s="52" t="s">
        <v>102</v>
      </c>
    </row>
    <row r="10" spans="1:1" ht="28.5" customHeight="1">
      <c r="A10" s="52" t="s">
        <v>103</v>
      </c>
    </row>
    <row r="11" spans="1:1" ht="23.25" customHeight="1">
      <c r="A11" s="52" t="s">
        <v>104</v>
      </c>
    </row>
    <row r="12" spans="1:1" ht="23.25" customHeight="1">
      <c r="A12" s="52" t="s">
        <v>105</v>
      </c>
    </row>
    <row r="14" spans="1:1">
      <c r="A14" s="52" t="s">
        <v>106</v>
      </c>
    </row>
    <row r="15" spans="1:1">
      <c r="A15" s="52" t="s">
        <v>107</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F18"/>
  <sheetViews>
    <sheetView showGridLines="0" zoomScale="80" zoomScaleNormal="80" workbookViewId="0">
      <selection activeCell="D10" sqref="D10"/>
    </sheetView>
  </sheetViews>
  <sheetFormatPr defaultColWidth="9.140625" defaultRowHeight="30" customHeight="1"/>
  <cols>
    <col min="1" max="1" width="2.7109375" customWidth="1"/>
    <col min="2" max="2" width="33.140625" customWidth="1"/>
    <col min="3" max="31" width="4.7109375" customWidth="1"/>
    <col min="32" max="32" width="14.85546875" customWidth="1"/>
    <col min="33" max="33" width="2.7109375" customWidth="1"/>
  </cols>
  <sheetData>
    <row r="1" spans="1:32" s="9" customFormat="1" ht="61.5">
      <c r="A1" s="81" t="s">
        <v>49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2"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customHeight="1">
      <c r="B3" s="24" t="s">
        <v>1</v>
      </c>
      <c r="C3" s="18" t="s">
        <v>2</v>
      </c>
      <c r="D3" s="78" t="s">
        <v>3</v>
      </c>
      <c r="E3" s="78"/>
      <c r="G3" s="73"/>
      <c r="H3" s="78"/>
      <c r="I3" s="78"/>
      <c r="J3" s="78"/>
      <c r="K3" s="78"/>
      <c r="M3" s="17" t="s">
        <v>4</v>
      </c>
      <c r="N3" s="78" t="s">
        <v>5</v>
      </c>
      <c r="O3" s="78"/>
      <c r="P3" s="34"/>
      <c r="Q3" s="38"/>
      <c r="R3" s="38"/>
      <c r="S3" s="38"/>
      <c r="T3" s="38"/>
      <c r="U3" s="32"/>
      <c r="V3" s="34"/>
      <c r="W3" s="34"/>
      <c r="X3" s="34"/>
      <c r="Y3" s="34"/>
    </row>
    <row r="4" spans="1:32"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23.25">
      <c r="B5" s="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5">
        <v>2026</v>
      </c>
    </row>
    <row r="6" spans="1:32" ht="30" customHeight="1">
      <c r="B6" s="5"/>
      <c r="C6" s="15" t="str">
        <f>TEXT(WEEKDAY(DATE(AnoCalendário,2,1),1),"ddd")</f>
        <v>dom</v>
      </c>
      <c r="D6" s="15" t="str">
        <f>TEXT(WEEKDAY(DATE(AnoCalendário,2,2),1),"ddd")</f>
        <v>seg</v>
      </c>
      <c r="E6" s="15" t="str">
        <f>TEXT(WEEKDAY(DATE(AnoCalendário,2,3),1),"ddd")</f>
        <v>ter</v>
      </c>
      <c r="F6" s="15" t="str">
        <f>TEXT(WEEKDAY(DATE(AnoCalendário,2,4),1),"ddd")</f>
        <v>qua</v>
      </c>
      <c r="G6" s="15" t="str">
        <f>TEXT(WEEKDAY(DATE(AnoCalendário,2,5),1),"ddd")</f>
        <v>qui</v>
      </c>
      <c r="H6" s="15" t="str">
        <f>TEXT(WEEKDAY(DATE(AnoCalendário,2,6),1),"ddd")</f>
        <v>sex</v>
      </c>
      <c r="I6" s="15" t="str">
        <f>TEXT(WEEKDAY(DATE(AnoCalendário,2,7),1),"ddd")</f>
        <v>sáb</v>
      </c>
      <c r="J6" s="15" t="str">
        <f>TEXT(WEEKDAY(DATE(AnoCalendário,2,8),1),"ddd")</f>
        <v>dom</v>
      </c>
      <c r="K6" s="15" t="str">
        <f>TEXT(WEEKDAY(DATE(AnoCalendário,2,9),1),"ddd")</f>
        <v>seg</v>
      </c>
      <c r="L6" s="15" t="str">
        <f>TEXT(WEEKDAY(DATE(AnoCalendário,2,10),1),"ddd")</f>
        <v>ter</v>
      </c>
      <c r="M6" s="15" t="str">
        <f>TEXT(WEEKDAY(DATE(AnoCalendário,2,11),1),"ddd")</f>
        <v>qua</v>
      </c>
      <c r="N6" s="15" t="str">
        <f>TEXT(WEEKDAY(DATE(AnoCalendário,2,12),1),"ddd")</f>
        <v>qui</v>
      </c>
      <c r="O6" s="15" t="str">
        <f>TEXT(WEEKDAY(DATE(AnoCalendário,2,13),1),"ddd")</f>
        <v>sex</v>
      </c>
      <c r="P6" s="15" t="str">
        <f>TEXT(WEEKDAY(DATE(AnoCalendário,2,14),1),"ddd")</f>
        <v>sáb</v>
      </c>
      <c r="Q6" s="15" t="str">
        <f>TEXT(WEEKDAY(DATE(AnoCalendário,2,15),1),"ddd")</f>
        <v>dom</v>
      </c>
      <c r="R6" s="15" t="str">
        <f>TEXT(WEEKDAY(DATE(AnoCalendário,2,16),1),"ddd")</f>
        <v>seg</v>
      </c>
      <c r="S6" s="15" t="str">
        <f>TEXT(WEEKDAY(DATE(AnoCalendário,2,17),1),"ddd")</f>
        <v>ter</v>
      </c>
      <c r="T6" s="15" t="str">
        <f>TEXT(WEEKDAY(DATE(AnoCalendário,2,18),1),"ddd")</f>
        <v>qua</v>
      </c>
      <c r="U6" s="15" t="str">
        <f>TEXT(WEEKDAY(DATE(AnoCalendário,2,19),1),"ddd")</f>
        <v>qui</v>
      </c>
      <c r="V6" s="15" t="str">
        <f>TEXT(WEEKDAY(DATE(AnoCalendário,2,20),1),"ddd")</f>
        <v>sex</v>
      </c>
      <c r="W6" s="15" t="str">
        <f>TEXT(WEEKDAY(DATE(AnoCalendário,2,21),1),"ddd")</f>
        <v>sáb</v>
      </c>
      <c r="X6" s="15" t="str">
        <f>TEXT(WEEKDAY(DATE(AnoCalendário,2,22),1),"ddd")</f>
        <v>dom</v>
      </c>
      <c r="Y6" s="15" t="str">
        <f>TEXT(WEEKDAY(DATE(AnoCalendário,2,23),1),"ddd")</f>
        <v>seg</v>
      </c>
      <c r="Z6" s="15" t="str">
        <f>TEXT(WEEKDAY(DATE(AnoCalendário,2,24),1),"ddd")</f>
        <v>ter</v>
      </c>
      <c r="AA6" s="15" t="str">
        <f>TEXT(WEEKDAY(DATE(AnoCalendário,2,25),1),"ddd")</f>
        <v>qua</v>
      </c>
      <c r="AB6" s="15" t="str">
        <f>TEXT(WEEKDAY(DATE(AnoCalendário,2,26),1),"ddd")</f>
        <v>qui</v>
      </c>
      <c r="AC6" s="15" t="str">
        <f>TEXT(WEEKDAY(DATE(AnoCalendário,2,27),1),"ddd")</f>
        <v>sex</v>
      </c>
      <c r="AD6" s="15" t="str">
        <f>TEXT(WEEKDAY(DATE(AnoCalendário,2,28),1),"ddd")</f>
        <v>sáb</v>
      </c>
      <c r="AE6" s="15" t="str">
        <f>TEXT(WEEKDAY(DATE(AnoCalendário,2,29),1),"ddd")</f>
        <v>dom</v>
      </c>
      <c r="AF6" s="5"/>
    </row>
    <row r="7" spans="1:32"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6" t="s">
        <v>38</v>
      </c>
    </row>
    <row r="8" spans="1:32" ht="30" customHeight="1">
      <c r="B8" s="2" t="s">
        <v>39</v>
      </c>
      <c r="C8" s="14"/>
      <c r="D8" s="14" t="s">
        <v>2</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3">
        <f>COUNTA(Fevereiro[[#This Row],[1]:[29]])</f>
        <v>1</v>
      </c>
    </row>
    <row r="9" spans="1:32" ht="30" customHeight="1">
      <c r="B9" s="2"/>
      <c r="C9" s="31"/>
      <c r="D9" s="70" t="s">
        <v>50</v>
      </c>
      <c r="E9" s="31"/>
      <c r="F9" s="31"/>
      <c r="G9" s="31"/>
      <c r="H9" s="31"/>
      <c r="I9" s="31"/>
      <c r="J9" s="31"/>
      <c r="K9" s="71"/>
      <c r="L9" s="31"/>
      <c r="M9" s="31"/>
      <c r="N9" s="31"/>
      <c r="O9" s="72"/>
      <c r="P9" s="70"/>
      <c r="Q9" s="31"/>
      <c r="R9" s="72"/>
      <c r="S9" s="31"/>
      <c r="T9" s="31"/>
      <c r="U9" s="31"/>
      <c r="V9" s="70"/>
      <c r="W9" s="31"/>
      <c r="X9" s="31"/>
      <c r="Y9" s="31"/>
      <c r="Z9" s="70"/>
      <c r="AA9" s="31"/>
      <c r="AB9" s="31"/>
      <c r="AC9" s="31"/>
      <c r="AD9" s="31"/>
      <c r="AE9" s="31"/>
      <c r="AF9" s="3"/>
    </row>
    <row r="10" spans="1:32" ht="30" customHeight="1">
      <c r="B10" s="2" t="s">
        <v>41</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3">
        <f>COUNTA(Fevereiro[[#This Row],[1]:[29]])</f>
        <v>0</v>
      </c>
    </row>
    <row r="11" spans="1:32" ht="30" customHeight="1">
      <c r="B11" s="2"/>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
    </row>
    <row r="12" spans="1:32" ht="30" customHeight="1">
      <c r="B12" s="2" t="s">
        <v>42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3">
        <f>COUNTA(Fevereiro[[#This Row],[1]:[29]])</f>
        <v>0</v>
      </c>
    </row>
    <row r="13" spans="1:32" ht="30" customHeight="1">
      <c r="B13" s="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
    </row>
    <row r="14" spans="1:32" ht="30" customHeight="1">
      <c r="B14" s="2" t="s">
        <v>44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3">
        <f>COUNTA(Fevereiro[[#This Row],[1]:[29]])</f>
        <v>0</v>
      </c>
    </row>
    <row r="15" spans="1:32" ht="30" customHeight="1">
      <c r="B15" s="2"/>
      <c r="C15" s="70"/>
      <c r="D15" s="31"/>
      <c r="E15" s="31"/>
      <c r="F15" s="31"/>
      <c r="G15" s="31"/>
      <c r="H15" s="31"/>
      <c r="I15" s="31"/>
      <c r="J15" s="31"/>
      <c r="K15" s="31"/>
      <c r="L15" s="31"/>
      <c r="M15" s="31"/>
      <c r="N15" s="31"/>
      <c r="O15" s="31"/>
      <c r="P15" s="31"/>
      <c r="Q15" s="40"/>
      <c r="R15" s="31"/>
      <c r="S15" s="31"/>
      <c r="T15" s="31"/>
      <c r="U15" s="31"/>
      <c r="V15" s="31"/>
      <c r="W15" s="31"/>
      <c r="X15" s="31"/>
      <c r="Y15" s="31"/>
      <c r="Z15" s="31"/>
      <c r="AA15" s="31"/>
      <c r="AB15" s="31"/>
      <c r="AC15" s="31"/>
      <c r="AD15" s="31"/>
      <c r="AE15" s="31"/>
      <c r="AF15" s="3"/>
    </row>
    <row r="16" spans="1:32" ht="30" customHeight="1">
      <c r="B16" s="2" t="s">
        <v>46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3">
        <f>COUNTA(Fevereiro[[#This Row],[1]:[29]])</f>
        <v>0</v>
      </c>
    </row>
    <row r="17" spans="2:32" ht="30" customHeight="1">
      <c r="B17" s="2"/>
      <c r="C17" s="31"/>
      <c r="D17" s="31"/>
      <c r="E17" s="31"/>
      <c r="F17" s="31"/>
      <c r="G17" s="31"/>
      <c r="H17" s="31"/>
      <c r="I17" s="31"/>
      <c r="J17" s="31"/>
      <c r="K17" s="31"/>
      <c r="L17" s="70"/>
      <c r="M17" s="31"/>
      <c r="N17" s="31"/>
      <c r="O17" s="31"/>
      <c r="P17" s="31"/>
      <c r="Q17" s="31"/>
      <c r="R17" s="31"/>
      <c r="S17" s="31"/>
      <c r="T17" s="31"/>
      <c r="U17" s="31"/>
      <c r="V17" s="31"/>
      <c r="W17" s="31"/>
      <c r="X17" s="31"/>
      <c r="Y17" s="31"/>
      <c r="Z17" s="31"/>
      <c r="AA17" s="31"/>
      <c r="AB17" s="31"/>
      <c r="AC17" s="31"/>
      <c r="AD17" s="31"/>
      <c r="AE17" s="31"/>
      <c r="AF17" s="3"/>
    </row>
    <row r="18" spans="2:32" ht="30" customHeight="1">
      <c r="B18" s="1" t="s">
        <v>48</v>
      </c>
      <c r="C18" s="4">
        <f>COUNTA(C8,C10,C12,C14,C16)</f>
        <v>0</v>
      </c>
      <c r="D18" s="4">
        <f t="shared" ref="D18:AD18" si="0">COUNTA(D8,D10,D12,D14,D16)</f>
        <v>1</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COUNTA(AE8,AE10,AE12,AE14,AE16)</f>
        <v>0</v>
      </c>
      <c r="AF18" s="4"/>
    </row>
  </sheetData>
  <mergeCells count="5">
    <mergeCell ref="D3:E3"/>
    <mergeCell ref="A1:AF1"/>
    <mergeCell ref="H3:K3"/>
    <mergeCell ref="N3:O3"/>
    <mergeCell ref="C5:AE5"/>
  </mergeCells>
  <phoneticPr fontId="26" type="noConversion"/>
  <conditionalFormatting sqref="C8:AE14 C15:P15 R15:AE15 C16:AE17">
    <cfRule type="cellIs" dxfId="1063" priority="11" operator="equal">
      <formula>"L"</formula>
    </cfRule>
    <cfRule type="cellIs" dxfId="1062" priority="12" operator="equal">
      <formula>"A"</formula>
    </cfRule>
    <cfRule type="expression" priority="16" stopIfTrue="1">
      <formula>C8=""</formula>
    </cfRule>
    <cfRule type="expression" dxfId="1061" priority="17" stopIfTrue="1">
      <formula>C8=ChavePersonalizada2</formula>
    </cfRule>
    <cfRule type="expression" dxfId="1060" priority="19" stopIfTrue="1">
      <formula>C8=ChavePersonalizada1</formula>
    </cfRule>
    <cfRule type="expression" dxfId="1059" priority="20" stopIfTrue="1">
      <formula>C8=ChaveLicençaMédica</formula>
    </cfRule>
    <cfRule type="expression" dxfId="1058" priority="21" stopIfTrue="1">
      <formula>C8=ChavePessoal</formula>
    </cfRule>
    <cfRule type="expression" dxfId="1057" priority="22" stopIfTrue="1">
      <formula>C8=ChaveFérias</formula>
    </cfRule>
  </conditionalFormatting>
  <conditionalFormatting sqref="F8">
    <cfRule type="cellIs" dxfId="1056" priority="13" operator="equal">
      <formula>"A"</formula>
    </cfRule>
  </conditionalFormatting>
  <conditionalFormatting sqref="Q15">
    <cfRule type="cellIs" dxfId="1055" priority="1" operator="equal">
      <formula>"L"</formula>
    </cfRule>
    <cfRule type="cellIs" dxfId="1054" priority="2" operator="equal">
      <formula>"A"</formula>
    </cfRule>
    <cfRule type="cellIs" dxfId="1053" priority="3" operator="equal">
      <formula>"A"</formula>
    </cfRule>
    <cfRule type="cellIs" dxfId="1052" priority="4" operator="equal">
      <formula>"A"</formula>
    </cfRule>
    <cfRule type="expression" priority="5" stopIfTrue="1">
      <formula>Q15=""</formula>
    </cfRule>
    <cfRule type="expression" dxfId="1051" priority="6" stopIfTrue="1">
      <formula>Q15=ChavePersonalizada2</formula>
    </cfRule>
    <cfRule type="expression" dxfId="1050" priority="7" stopIfTrue="1">
      <formula>Q15=ChavePersonalizada1</formula>
    </cfRule>
    <cfRule type="expression" dxfId="1049" priority="8" stopIfTrue="1">
      <formula>Q15=ChaveLicençaMédica</formula>
    </cfRule>
    <cfRule type="expression" dxfId="1048" priority="9" stopIfTrue="1">
      <formula>Q15=ChavePessoal</formula>
    </cfRule>
    <cfRule type="expression" dxfId="1047" priority="10" stopIfTrue="1">
      <formula>Q15=ChaveFérias</formula>
    </cfRule>
  </conditionalFormatting>
  <conditionalFormatting sqref="AE6">
    <cfRule type="expression" dxfId="1046" priority="14">
      <formula>MONTH(DATE(AnoCalendário,2,29))&lt;&gt;2</formula>
    </cfRule>
  </conditionalFormatting>
  <conditionalFormatting sqref="AE7">
    <cfRule type="expression" dxfId="1045" priority="30">
      <formula>MONTH(DATE(AnoCalendário,2,29))&lt;&gt;2</formula>
    </cfRule>
  </conditionalFormatting>
  <conditionalFormatting sqref="AF8:AF17">
    <cfRule type="dataBar" priority="167">
      <dataBar>
        <cfvo type="min"/>
        <cfvo type="formula" val="DATEDIF(DATE(AnoCalendário,2,1),DATE(AnoCalendário,3,1),&quot;d&quot;)"/>
        <color theme="4"/>
      </dataBar>
      <extLst>
        <ext xmlns:x14="http://schemas.microsoft.com/office/spreadsheetml/2009/9/main" uri="{B025F937-C7B1-47D3-B67F-A62EFF666E3E}">
          <x14:id>{94738C71-AB78-40C3-A818-D083AE35CC38}</x14:id>
        </ext>
      </extLst>
    </cfRule>
  </conditionalFormatting>
  <dataValidations xWindow="232" yWindow="365" count="13">
    <dataValidation allowBlank="1" showInputMessage="1" showErrorMessage="1" prompt="Calcula automaticamente o número total de dias em que um funcionário esteve ausente deste mês nesta coluna." sqref="AF7" xr:uid="{77246999-1DD3-7143-AA66-1A208D7E07C6}"/>
    <dataValidation allowBlank="1" showInputMessage="1" showErrorMessage="1" prompt="O título atualizado automaticamente está nesta célula. Para modificar o título, atualize B1 na planilha Janeiro." sqref="A1" xr:uid="{25CD9922-3074-4625-AB7B-CEAC8AE3E571}"/>
    <dataValidation allowBlank="1" showInputMessage="1" showErrorMessage="1" prompt="O nome do mês para essa agenda de faltas está nesta célula. Os totais de faltas deste mês estão na última célula da tabela. Selecione os nomes dos funcionários na tabela B." sqref="A1" xr:uid="{218DBFF3-8572-404D-91AC-B4AAF5209627}"/>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FF6651E4-B39E-4990-9105-A6DA8A267CA8}"/>
    <dataValidation allowBlank="1" showInputMessage="1" showErrorMessage="1" prompt="Insira um rótulo para descrever a chave personalizada à esquerda." sqref="V3 Q3" xr:uid="{00000000-0002-0000-0100-000007000000}"/>
    <dataValidation allowBlank="1" showInputMessage="1" showErrorMessage="1" prompt="Insira uma letra e personalize o rótulo à direita para adicionar outro item de chave." sqref="U3" xr:uid="{00000000-0002-0000-0100-000008000000}"/>
    <dataValidation allowBlank="1" showInputMessage="1" showErrorMessage="1" prompt="A letra &quot;L&quot; indica falta devido à licença médica." sqref="M3" xr:uid="{59C62D9A-BC1D-4D33-88AF-078D7B58AC16}"/>
    <dataValidation allowBlank="1" showInputMessage="1" showErrorMessage="1" prompt="A letra &quot;P&quot; indica falta devido a motivos pessoais." sqref="G3" xr:uid="{B70A4103-67D1-4076-8D1D-40BD659F24CF}"/>
    <dataValidation allowBlank="1" showInputMessage="1" showErrorMessage="1" prompt="A letra &quot;F&quot; indica falta devido a férias." sqref="C3" xr:uid="{63E218EB-80F0-4C89-A934-0666BA0A5DC3}"/>
    <dataValidation allowBlank="1" showInputMessage="1" showErrorMessage="1" prompt="Os dias do mês nesta linha são gerados automaticamente. Insira a falta e o tipo de falta de um funcionário em cada coluna de cada dia do mês. Espaço vazio significa sem faltas." sqref="C7" xr:uid="{00000000-0002-0000-0100-00000D000000}"/>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525721C9-B345-0C4C-8302-350AF692807F}"/>
    <dataValidation allowBlank="1" showInputMessage="1" showErrorMessage="1" prompt="Esta linha define as chaves utilizadas na tabela: a célula C4 é Férias, G4 é Pessoal e K4 é Licença médica. As células N4 e R4 são personalizáveis " sqref="B3" xr:uid="{E02B4559-F764-4F65-8D14-4F2C9D2258F2}"/>
    <dataValidation allowBlank="1" showInputMessage="1" showErrorMessage="1" prompt="Insira o ano nesta célula." sqref="AF5" xr:uid="{100AB7A0-3351-4D21-B039-910BE7656E96}"/>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gradient="0">
              <x14:cfvo type="autoMin"/>
              <x14:cfvo type="formula">
                <xm:f>DATEDIF(DATE(AnoCalendário,2,1),DATE(AnoCalendário,3,1),"d")</xm:f>
              </x14:cfvo>
              <x14:negativeFillColor rgb="FFFF0000"/>
              <x14:axisColor rgb="FF000000"/>
            </x14:dataBar>
          </x14:cfRule>
          <xm:sqref>AF8:AF17</xm:sqref>
        </x14:conditionalFormatting>
      </x14:conditionalFormattings>
    </ext>
    <ext xmlns:x14="http://schemas.microsoft.com/office/spreadsheetml/2009/9/main" uri="{CCE6A557-97BC-4b89-ADB6-D9C93CAAB3DF}">
      <x14:dataValidations xmlns:xm="http://schemas.microsoft.com/office/excel/2006/main" xWindow="232" yWindow="365" count="1">
        <x14:dataValidation type="list" allowBlank="1" showInputMessage="1" showErrorMessage="1" xr:uid="{00000000-0002-0000-0100-00000E000000}">
          <x14:formula1>
            <xm:f>Diretores!$B$3:$B$7</xm:f>
          </x14:formula1>
          <xm:sqref>B8:B17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B1:AI18"/>
  <sheetViews>
    <sheetView showGridLines="0" zoomScale="80" zoomScaleNormal="80" workbookViewId="0">
      <selection activeCell="P16" sqref="P16"/>
    </sheetView>
  </sheetViews>
  <sheetFormatPr defaultColWidth="8.7109375" defaultRowHeight="30" customHeight="1"/>
  <cols>
    <col min="1" max="1" width="2.7109375" customWidth="1"/>
    <col min="2" max="2" width="33.28515625" customWidth="1"/>
    <col min="3" max="33" width="4.7109375" customWidth="1"/>
    <col min="34" max="34" width="14.85546875" customWidth="1"/>
    <col min="35" max="35" width="2.7109375" customWidth="1"/>
  </cols>
  <sheetData>
    <row r="1" spans="2:35" ht="61.5">
      <c r="B1" s="77" t="s">
        <v>51</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35"/>
    </row>
    <row r="2" spans="2:35"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5" ht="30" customHeight="1">
      <c r="B3" s="24" t="s">
        <v>1</v>
      </c>
      <c r="C3" s="18" t="s">
        <v>2</v>
      </c>
      <c r="D3" s="78" t="s">
        <v>3</v>
      </c>
      <c r="E3" s="78"/>
      <c r="G3" s="73"/>
      <c r="H3" s="78"/>
      <c r="I3" s="78"/>
      <c r="J3" s="78"/>
      <c r="K3" s="78"/>
      <c r="M3" s="17" t="s">
        <v>4</v>
      </c>
      <c r="N3" s="78" t="s">
        <v>5</v>
      </c>
      <c r="O3" s="78"/>
      <c r="P3" s="34"/>
      <c r="Q3" s="38"/>
      <c r="R3" s="38"/>
      <c r="S3" s="38"/>
      <c r="T3" s="38"/>
      <c r="U3" s="32"/>
      <c r="V3" s="34"/>
      <c r="W3" s="34"/>
      <c r="X3" s="34"/>
      <c r="Y3" s="34"/>
    </row>
    <row r="4" spans="2:35"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5"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v>2026</v>
      </c>
    </row>
    <row r="6" spans="2:35" ht="30" customHeight="1">
      <c r="B6" s="5"/>
      <c r="C6" s="15" t="str">
        <f>TEXT(WEEKDAY(DATE(AnoCalendário,3,1),1),"ddd")</f>
        <v>dom</v>
      </c>
      <c r="D6" s="15" t="str">
        <f>TEXT(WEEKDAY(DATE(AnoCalendário,3,2),1),"ddd")</f>
        <v>seg</v>
      </c>
      <c r="E6" s="15" t="str">
        <f>TEXT(WEEKDAY(DATE(AnoCalendário,3,3),1),"ddd")</f>
        <v>ter</v>
      </c>
      <c r="F6" s="15" t="str">
        <f>TEXT(WEEKDAY(DATE(AnoCalendário,3,4),1),"ddd")</f>
        <v>qua</v>
      </c>
      <c r="G6" s="15" t="str">
        <f>TEXT(WEEKDAY(DATE(AnoCalendário,3,5),1),"ddd")</f>
        <v>qui</v>
      </c>
      <c r="H6" s="15" t="str">
        <f>TEXT(WEEKDAY(DATE(AnoCalendário,3,6),1),"ddd")</f>
        <v>sex</v>
      </c>
      <c r="I6" s="15" t="str">
        <f>TEXT(WEEKDAY(DATE(AnoCalendário,3,7),1),"ddd")</f>
        <v>sáb</v>
      </c>
      <c r="J6" s="15" t="str">
        <f>TEXT(WEEKDAY(DATE(AnoCalendário,3,8),1),"ddd")</f>
        <v>dom</v>
      </c>
      <c r="K6" s="15" t="str">
        <f>TEXT(WEEKDAY(DATE(AnoCalendário,3,9),1),"ddd")</f>
        <v>seg</v>
      </c>
      <c r="L6" s="15" t="str">
        <f>TEXT(WEEKDAY(DATE(AnoCalendário,3,10),1),"ddd")</f>
        <v>ter</v>
      </c>
      <c r="M6" s="15" t="str">
        <f>TEXT(WEEKDAY(DATE(AnoCalendário,3,11),1),"ddd")</f>
        <v>qua</v>
      </c>
      <c r="N6" s="15" t="str">
        <f>TEXT(WEEKDAY(DATE(AnoCalendário,3,12),1),"ddd")</f>
        <v>qui</v>
      </c>
      <c r="O6" s="15" t="str">
        <f>TEXT(WEEKDAY(DATE(AnoCalendário,3,13),1),"ddd")</f>
        <v>sex</v>
      </c>
      <c r="P6" s="15" t="str">
        <f>TEXT(WEEKDAY(DATE(AnoCalendário,3,14),1),"ddd")</f>
        <v>sáb</v>
      </c>
      <c r="Q6" s="15" t="str">
        <f>TEXT(WEEKDAY(DATE(AnoCalendário,3,15),1),"ddd")</f>
        <v>dom</v>
      </c>
      <c r="R6" s="15" t="str">
        <f>TEXT(WEEKDAY(DATE(AnoCalendário,3,16),1),"ddd")</f>
        <v>seg</v>
      </c>
      <c r="S6" s="15" t="str">
        <f>TEXT(WEEKDAY(DATE(AnoCalendário,3,17),1),"ddd")</f>
        <v>ter</v>
      </c>
      <c r="T6" s="15" t="str">
        <f>TEXT(WEEKDAY(DATE(AnoCalendário,3,18),1),"ddd")</f>
        <v>qua</v>
      </c>
      <c r="U6" s="15" t="str">
        <f>TEXT(WEEKDAY(DATE(AnoCalendário,3,19),1),"ddd")</f>
        <v>qui</v>
      </c>
      <c r="V6" s="15" t="str">
        <f>TEXT(WEEKDAY(DATE(AnoCalendário,3,20),1),"ddd")</f>
        <v>sex</v>
      </c>
      <c r="W6" s="15" t="str">
        <f>TEXT(WEEKDAY(DATE(AnoCalendário,3,21),1),"ddd")</f>
        <v>sáb</v>
      </c>
      <c r="X6" s="15" t="str">
        <f>TEXT(WEEKDAY(DATE(AnoCalendário,3,22),1),"ddd")</f>
        <v>dom</v>
      </c>
      <c r="Y6" s="15" t="str">
        <f>TEXT(WEEKDAY(DATE(AnoCalendário,3,23),1),"ddd")</f>
        <v>seg</v>
      </c>
      <c r="Z6" s="15" t="str">
        <f>TEXT(WEEKDAY(DATE(AnoCalendário,3,24),1),"ddd")</f>
        <v>ter</v>
      </c>
      <c r="AA6" s="15" t="str">
        <f>TEXT(WEEKDAY(DATE(AnoCalendário,3,25),1),"ddd")</f>
        <v>qua</v>
      </c>
      <c r="AB6" s="15" t="str">
        <f>TEXT(WEEKDAY(DATE(AnoCalendário,3,26),1),"ddd")</f>
        <v>qui</v>
      </c>
      <c r="AC6" s="15" t="str">
        <f>TEXT(WEEKDAY(DATE(AnoCalendário,3,27),1),"ddd")</f>
        <v>sex</v>
      </c>
      <c r="AD6" s="15" t="str">
        <f>TEXT(WEEKDAY(DATE(AnoCalendário,3,28),1),"ddd")</f>
        <v>sáb</v>
      </c>
      <c r="AE6" s="15" t="str">
        <f>TEXT(WEEKDAY(DATE(AnoCalendário,3,29),1),"ddd")</f>
        <v>dom</v>
      </c>
      <c r="AF6" s="15" t="str">
        <f>TEXT(WEEKDAY(DATE(AnoCalendário,3,30),1),"ddd")</f>
        <v>seg</v>
      </c>
      <c r="AG6" s="15" t="str">
        <f>TEXT(WEEKDAY(DATE(AnoCalendário,3,31),1),"ddd")</f>
        <v>ter</v>
      </c>
      <c r="AH6" s="5"/>
    </row>
    <row r="7" spans="2:35"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row>
    <row r="8" spans="2:35"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COUNTA(Março[[#This Row],[1]:[31]])</f>
        <v>0</v>
      </c>
    </row>
    <row r="9" spans="2:35" ht="30" customHeight="1">
      <c r="B9" s="36"/>
      <c r="D9" s="1"/>
      <c r="E9" s="1"/>
      <c r="F9" s="1"/>
      <c r="G9" s="1"/>
      <c r="H9" s="1"/>
      <c r="I9" s="1"/>
      <c r="J9" s="1"/>
      <c r="K9" s="1"/>
      <c r="L9" s="1"/>
      <c r="M9" s="1"/>
      <c r="N9" s="1"/>
      <c r="O9" s="1"/>
      <c r="P9" s="1"/>
      <c r="Q9" s="1"/>
      <c r="R9" s="1"/>
      <c r="S9" s="1"/>
      <c r="T9" s="1"/>
      <c r="U9" s="1"/>
      <c r="V9" s="1"/>
      <c r="W9" s="1"/>
      <c r="X9" s="1"/>
      <c r="Y9" s="1"/>
      <c r="Z9" s="1"/>
      <c r="AA9" s="1"/>
      <c r="AB9" s="1"/>
      <c r="AC9" s="1"/>
      <c r="AD9" s="1"/>
      <c r="AE9" s="1"/>
      <c r="AF9" s="1"/>
      <c r="AG9" s="37"/>
      <c r="AH9" s="3"/>
    </row>
    <row r="10" spans="2:35"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t="s">
        <v>2</v>
      </c>
      <c r="AG10" s="1" t="s">
        <v>2</v>
      </c>
      <c r="AH10" s="3">
        <f>COUNTA(Março[[#This Row],[1]:[31]])</f>
        <v>2</v>
      </c>
    </row>
    <row r="11" spans="2:35"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58" t="s">
        <v>52</v>
      </c>
      <c r="AG11" s="37"/>
      <c r="AH11" s="3"/>
    </row>
    <row r="12" spans="2:35" ht="30" customHeight="1">
      <c r="B12" s="2" t="s">
        <v>42</v>
      </c>
      <c r="C12" s="1"/>
      <c r="D12" s="1"/>
      <c r="E12" s="1"/>
      <c r="F12" s="1"/>
      <c r="G12" s="1"/>
      <c r="H12" s="1"/>
      <c r="I12" s="1"/>
      <c r="J12" s="1"/>
      <c r="K12" s="1" t="s">
        <v>2</v>
      </c>
      <c r="L12" s="1"/>
      <c r="M12" s="1"/>
      <c r="N12" s="1"/>
      <c r="O12" s="1"/>
      <c r="P12" s="1"/>
      <c r="Q12" s="1"/>
      <c r="R12" s="1"/>
      <c r="S12" s="1"/>
      <c r="T12" s="1"/>
      <c r="U12" s="1"/>
      <c r="V12" s="1"/>
      <c r="W12" s="1"/>
      <c r="X12" s="1"/>
      <c r="Y12" s="1"/>
      <c r="Z12" s="1"/>
      <c r="AA12" s="1"/>
      <c r="AB12" s="1"/>
      <c r="AC12" s="1"/>
      <c r="AD12" s="1"/>
      <c r="AE12" s="1"/>
      <c r="AF12" s="1"/>
      <c r="AG12" s="1"/>
      <c r="AH12" s="3">
        <f>COUNTA(Março[[#This Row],[1]:[31]])</f>
        <v>1</v>
      </c>
    </row>
    <row r="13" spans="2:35" ht="30" customHeight="1">
      <c r="B13" s="36"/>
      <c r="C13" s="1"/>
      <c r="D13" s="1"/>
      <c r="E13" s="1"/>
      <c r="F13" s="40"/>
      <c r="G13" s="1"/>
      <c r="H13" s="1"/>
      <c r="I13" s="1"/>
      <c r="J13" s="1"/>
      <c r="K13" s="1" t="s">
        <v>53</v>
      </c>
      <c r="L13" s="1"/>
      <c r="M13" s="1"/>
      <c r="N13" s="1"/>
      <c r="O13" s="1"/>
      <c r="P13" s="1"/>
      <c r="Q13" s="1"/>
      <c r="R13" s="1"/>
      <c r="S13" s="1"/>
      <c r="T13" s="1"/>
      <c r="U13" s="1"/>
      <c r="V13" s="1"/>
      <c r="W13" s="1"/>
      <c r="X13" s="1"/>
      <c r="Y13" s="1"/>
      <c r="Z13" s="1"/>
      <c r="AA13" s="1"/>
      <c r="AB13" s="1"/>
      <c r="AC13" s="1"/>
      <c r="AD13" s="1"/>
      <c r="AE13" s="1"/>
      <c r="AF13" s="1"/>
      <c r="AG13" s="37"/>
      <c r="AH13" s="3"/>
    </row>
    <row r="14" spans="2:35" ht="30" customHeight="1">
      <c r="B14" s="2" t="s">
        <v>44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COUNTA(Março[[#This Row],[1]:[31]])</f>
        <v>0</v>
      </c>
    </row>
    <row r="15" spans="2:35" ht="30" customHeight="1">
      <c r="B15" s="36"/>
      <c r="C15" s="1"/>
      <c r="D15" s="1"/>
      <c r="E15" s="1"/>
      <c r="F15" s="54"/>
      <c r="G15" s="1"/>
      <c r="H15" s="1"/>
      <c r="I15" s="1"/>
      <c r="K15" s="1"/>
      <c r="L15" s="1"/>
      <c r="M15" s="1"/>
      <c r="N15" s="1"/>
      <c r="O15" s="1"/>
      <c r="P15" s="1"/>
      <c r="Q15" s="1"/>
      <c r="R15" s="1"/>
      <c r="S15" s="54"/>
      <c r="T15" s="1"/>
      <c r="U15" s="1"/>
      <c r="V15" s="1"/>
      <c r="W15" s="1"/>
      <c r="X15" s="1"/>
      <c r="Y15" s="1"/>
      <c r="Z15" s="1"/>
      <c r="AA15" s="1"/>
      <c r="AB15" s="1"/>
      <c r="AC15" s="1"/>
      <c r="AD15" s="1"/>
      <c r="AE15" s="1"/>
      <c r="AF15" s="1"/>
      <c r="AG15" s="37"/>
      <c r="AH15" s="3"/>
    </row>
    <row r="16" spans="2:35" ht="30"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COUNTA(Março[[#This Row],[1]:[31]])</f>
        <v>0</v>
      </c>
    </row>
    <row r="17" spans="2:34" ht="30" customHeight="1">
      <c r="B17" s="36"/>
      <c r="C17" s="1"/>
      <c r="D17" s="1"/>
      <c r="E17" s="1"/>
      <c r="F17" s="1"/>
      <c r="G17" s="1"/>
      <c r="H17" s="1"/>
      <c r="I17" s="1"/>
      <c r="J17" s="1"/>
      <c r="K17" s="1"/>
      <c r="L17" s="1"/>
      <c r="M17" s="1"/>
      <c r="N17" s="1"/>
      <c r="O17" s="1"/>
      <c r="P17" s="1"/>
      <c r="Q17" s="1"/>
      <c r="R17" s="1"/>
      <c r="S17" s="1"/>
      <c r="T17" s="1"/>
      <c r="U17" s="1"/>
      <c r="V17" s="1"/>
      <c r="W17" s="1"/>
      <c r="X17" s="1"/>
      <c r="Y17" s="1"/>
      <c r="AA17" s="1"/>
      <c r="AB17" s="1"/>
      <c r="AC17" s="1"/>
      <c r="AD17" s="1"/>
      <c r="AE17" s="1"/>
      <c r="AF17" s="1"/>
      <c r="AG17" s="37"/>
      <c r="AH17" s="3"/>
    </row>
    <row r="18" spans="2:34" ht="30" customHeight="1">
      <c r="B18" s="1" t="s">
        <v>48</v>
      </c>
      <c r="C18" s="4">
        <f>COUNTA(C8,C10,C12,C14,C16)</f>
        <v>0</v>
      </c>
      <c r="D18" s="4">
        <f t="shared" ref="D18:AG18" si="0">COUNTA(D8,D10,D12,D14,D16)</f>
        <v>0</v>
      </c>
      <c r="E18" s="4">
        <f t="shared" si="0"/>
        <v>0</v>
      </c>
      <c r="F18" s="4">
        <f t="shared" si="0"/>
        <v>0</v>
      </c>
      <c r="G18" s="4">
        <f t="shared" si="0"/>
        <v>0</v>
      </c>
      <c r="H18" s="4">
        <f t="shared" si="0"/>
        <v>0</v>
      </c>
      <c r="I18" s="4">
        <f t="shared" si="0"/>
        <v>0</v>
      </c>
      <c r="J18" s="4">
        <f t="shared" si="0"/>
        <v>0</v>
      </c>
      <c r="K18" s="4">
        <f t="shared" si="0"/>
        <v>1</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1</v>
      </c>
      <c r="AG18" s="4">
        <f t="shared" si="0"/>
        <v>1</v>
      </c>
      <c r="AH18" s="4">
        <f>SUBTOTAL(109,Março[Total de dias])</f>
        <v>3</v>
      </c>
    </row>
  </sheetData>
  <mergeCells count="5">
    <mergeCell ref="D3:E3"/>
    <mergeCell ref="B1:AH1"/>
    <mergeCell ref="H3:K3"/>
    <mergeCell ref="N3:O3"/>
    <mergeCell ref="C5:AG5"/>
  </mergeCells>
  <phoneticPr fontId="26" type="noConversion"/>
  <conditionalFormatting sqref="C8:AG12 C13:E13 G13:AG13 C14:AG14 C15:E15 G15:R15 T15:AG15 C16:AG17">
    <cfRule type="cellIs" dxfId="979" priority="41" operator="equal">
      <formula>"L"</formula>
    </cfRule>
    <cfRule type="cellIs" dxfId="978" priority="42" operator="equal">
      <formula>"A"</formula>
    </cfRule>
    <cfRule type="expression" priority="43" stopIfTrue="1">
      <formula>C8=""</formula>
    </cfRule>
    <cfRule type="expression" dxfId="977" priority="44" stopIfTrue="1">
      <formula>C8=ChavePersonalizada2</formula>
    </cfRule>
    <cfRule type="expression" dxfId="976" priority="45" stopIfTrue="1">
      <formula>C8=ChavePersonalizada1</formula>
    </cfRule>
    <cfRule type="expression" dxfId="975" priority="46" stopIfTrue="1">
      <formula>C8=ChaveLicençaMédica</formula>
    </cfRule>
    <cfRule type="expression" dxfId="974" priority="47" stopIfTrue="1">
      <formula>C8=ChavePessoal</formula>
    </cfRule>
    <cfRule type="expression" dxfId="973" priority="48" stopIfTrue="1">
      <formula>C8=ChaveFérias</formula>
    </cfRule>
  </conditionalFormatting>
  <conditionalFormatting sqref="F13">
    <cfRule type="cellIs" dxfId="972" priority="31" operator="equal">
      <formula>"L"</formula>
    </cfRule>
    <cfRule type="cellIs" dxfId="971" priority="32" operator="equal">
      <formula>"A"</formula>
    </cfRule>
    <cfRule type="cellIs" dxfId="970" priority="33" operator="equal">
      <formula>"A"</formula>
    </cfRule>
    <cfRule type="cellIs" dxfId="969" priority="34" operator="equal">
      <formula>"A"</formula>
    </cfRule>
    <cfRule type="expression" priority="35" stopIfTrue="1">
      <formula>F13=""</formula>
    </cfRule>
    <cfRule type="expression" dxfId="968" priority="36" stopIfTrue="1">
      <formula>F13=ChavePersonalizada2</formula>
    </cfRule>
    <cfRule type="expression" dxfId="967" priority="37" stopIfTrue="1">
      <formula>F13=ChavePersonalizada1</formula>
    </cfRule>
    <cfRule type="expression" dxfId="966" priority="38" stopIfTrue="1">
      <formula>F13=ChaveLicençaMédica</formula>
    </cfRule>
    <cfRule type="expression" dxfId="965" priority="39" stopIfTrue="1">
      <formula>F13=ChavePessoal</formula>
    </cfRule>
    <cfRule type="expression" dxfId="964" priority="40" stopIfTrue="1">
      <formula>F13=ChaveFérias</formula>
    </cfRule>
  </conditionalFormatting>
  <conditionalFormatting sqref="F15">
    <cfRule type="expression" dxfId="963" priority="20" stopIfTrue="1">
      <formula>F15=ChaveFérias</formula>
    </cfRule>
    <cfRule type="cellIs" dxfId="962" priority="11" operator="equal">
      <formula>"L"</formula>
    </cfRule>
    <cfRule type="cellIs" dxfId="961" priority="12" operator="equal">
      <formula>"A"</formula>
    </cfRule>
    <cfRule type="cellIs" dxfId="960" priority="13" operator="equal">
      <formula>"A"</formula>
    </cfRule>
    <cfRule type="cellIs" dxfId="959" priority="14" operator="equal">
      <formula>"A"</formula>
    </cfRule>
    <cfRule type="expression" priority="15" stopIfTrue="1">
      <formula>F15=""</formula>
    </cfRule>
    <cfRule type="expression" dxfId="958" priority="16" stopIfTrue="1">
      <formula>F15=ChavePersonalizada2</formula>
    </cfRule>
    <cfRule type="expression" dxfId="957" priority="17" stopIfTrue="1">
      <formula>F15=ChavePersonalizada1</formula>
    </cfRule>
    <cfRule type="expression" dxfId="956" priority="18" stopIfTrue="1">
      <formula>F15=ChaveLicençaMédica</formula>
    </cfRule>
    <cfRule type="expression" dxfId="955" priority="19" stopIfTrue="1">
      <formula>F15=ChavePessoal</formula>
    </cfRule>
  </conditionalFormatting>
  <conditionalFormatting sqref="S15">
    <cfRule type="expression" dxfId="954" priority="10" stopIfTrue="1">
      <formula>S15=ChaveFérias</formula>
    </cfRule>
    <cfRule type="cellIs" dxfId="953" priority="1" operator="equal">
      <formula>"L"</formula>
    </cfRule>
    <cfRule type="cellIs" dxfId="952" priority="2" operator="equal">
      <formula>"A"</formula>
    </cfRule>
    <cfRule type="cellIs" dxfId="951" priority="3" operator="equal">
      <formula>"A"</formula>
    </cfRule>
    <cfRule type="cellIs" dxfId="950" priority="4" operator="equal">
      <formula>"A"</formula>
    </cfRule>
    <cfRule type="expression" priority="5" stopIfTrue="1">
      <formula>S15=""</formula>
    </cfRule>
    <cfRule type="expression" dxfId="949" priority="6" stopIfTrue="1">
      <formula>S15=ChavePersonalizada2</formula>
    </cfRule>
    <cfRule type="expression" dxfId="948" priority="7" stopIfTrue="1">
      <formula>S15=ChavePersonalizada1</formula>
    </cfRule>
    <cfRule type="expression" dxfId="947" priority="8" stopIfTrue="1">
      <formula>S15=ChaveLicençaMédica</formula>
    </cfRule>
    <cfRule type="expression" dxfId="946" priority="9" stopIfTrue="1">
      <formula>S15=ChavePessoal</formula>
    </cfRule>
  </conditionalFormatting>
  <conditionalFormatting sqref="AH8:AH17">
    <cfRule type="dataBar" priority="49">
      <dataBar>
        <cfvo type="min"/>
        <cfvo type="formula" val="DATEDIF(DATE(AnoCalendário,2,1),DATE(AnoCalendário,3,1),&quot;d&quot;)"/>
        <color theme="2" tint="-0.249977111117893"/>
      </dataBar>
      <extLst>
        <ext xmlns:x14="http://schemas.microsoft.com/office/spreadsheetml/2009/9/main" uri="{B025F937-C7B1-47D3-B67F-A62EFF666E3E}">
          <x14:id>{7C2B6C3E-666E-4369-8C57-FD32A7D03A3C}</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00000000-0002-0000-0200-000000000000}"/>
    <dataValidation allowBlank="1" showInputMessage="1" showErrorMessage="1" prompt="Insira um rótulo para descrever a chave personalizada à esquerda." sqref="V3 Q3" xr:uid="{E366FBFA-347E-8543-BF03-F13C8B9DCA49}"/>
    <dataValidation allowBlank="1" showInputMessage="1" showErrorMessage="1" prompt="Insira uma letra e personalize o rótulo à direita para adicionar outro item de chave." sqref="U3" xr:uid="{8C7F6C70-699C-2D4E-95B7-BEEF00444CC1}"/>
    <dataValidation allowBlank="1" showInputMessage="1" showErrorMessage="1" prompt="A letra &quot;L&quot; indica falta devido à licença médica." sqref="M3" xr:uid="{5EB4ED08-A941-4374-A3F8-235BE770EBF4}"/>
    <dataValidation allowBlank="1" showInputMessage="1" showErrorMessage="1" prompt="A letra &quot;P&quot; indica falta devido a motivos pessoais." sqref="G3" xr:uid="{4A6C9614-52AD-4AF3-9557-E02A372FB6D2}"/>
    <dataValidation allowBlank="1" showInputMessage="1" showErrorMessage="1" prompt="A letra &quot;F&quot; indica falta devido a férias." sqref="C3" xr:uid="{8301F752-7A5D-460B-8863-651E1D9AE0BC}"/>
    <dataValidation allowBlank="1" showInputMessage="1" showErrorMessage="1" prompt="O título atualizado automaticamente está nesta célula. Para modificar o título, atualize B1 na planilha Janeiro." sqref="B1" xr:uid="{DAD69D68-FC22-41EA-B8AA-75E294E5EBE4}"/>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BE856CBA-AD23-4576-8072-942DD217B9BC}"/>
    <dataValidation allowBlank="1" showInputMessage="1" showErrorMessage="1" prompt="Calcula automaticamente o número total de dias em que um funcionário esteve ausente deste mês nesta coluna." sqref="AH7" xr:uid="{70BD9EEE-E1FD-D147-919D-901970D7AADE}"/>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02C7B989-E77F-4A4F-82FD-F03860560B2B}"/>
    <dataValidation allowBlank="1" showInputMessage="1" showErrorMessage="1" prompt="O nome do mês para essa agenda de faltas está nesta célula. Os totais de faltas deste mês estão na última célula da tabela. Selecione os nomes dos funcionários na tabela B." sqref="B1" xr:uid="{197C2538-8024-4BA9-962D-DAFE1FA6C796}"/>
    <dataValidation allowBlank="1" showInputMessage="1" showErrorMessage="1" prompt="Esta linha define as chaves utilizadas na tabela: a célula C4 é Férias, G4 é Pessoal e K4 é Licença médica. As células N4 e R4 são personalizáveis " sqref="B3" xr:uid="{DD12D8CA-B8D4-49B6-9171-BB23BB5C6AD3}"/>
    <dataValidation allowBlank="1" showInputMessage="1" showErrorMessage="1" prompt="Insira o ano nesta célula." sqref="AH5" xr:uid="{13E5BE51-7384-466B-962D-2317DD71FCA2}"/>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7C2B6C3E-666E-4369-8C57-FD32A7D03A3C}">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E000000}">
          <x14:formula1>
            <xm:f>Diretores!$B$3:$B$7</xm:f>
          </x14:formula1>
          <xm:sqref>B8:B17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B1:AH18"/>
  <sheetViews>
    <sheetView showGridLines="0" zoomScale="90" zoomScaleNormal="90" workbookViewId="0">
      <selection activeCell="C12" sqref="C12"/>
    </sheetView>
  </sheetViews>
  <sheetFormatPr defaultColWidth="8.7109375" defaultRowHeight="30" customHeight="1"/>
  <cols>
    <col min="1" max="1" width="2.7109375" customWidth="1"/>
    <col min="2" max="2" width="33" customWidth="1"/>
    <col min="3" max="32" width="4.7109375" customWidth="1"/>
    <col min="33" max="33" width="14.85546875" customWidth="1"/>
    <col min="34" max="34" width="2.7109375" customWidth="1"/>
  </cols>
  <sheetData>
    <row r="1" spans="2:34" ht="61.5">
      <c r="B1" s="77" t="s">
        <v>54</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35"/>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4" ht="30" customHeight="1">
      <c r="B3" s="24" t="s">
        <v>1</v>
      </c>
      <c r="C3" s="18" t="s">
        <v>2</v>
      </c>
      <c r="D3" s="78" t="s">
        <v>3</v>
      </c>
      <c r="E3" s="78"/>
      <c r="G3" s="73"/>
      <c r="H3" s="79"/>
      <c r="I3" s="79"/>
      <c r="J3" s="79"/>
      <c r="K3" s="79"/>
      <c r="M3" s="17" t="s">
        <v>4</v>
      </c>
      <c r="N3" s="78" t="s">
        <v>5</v>
      </c>
      <c r="O3" s="78"/>
      <c r="P3" s="34"/>
      <c r="Q3" s="34"/>
      <c r="R3" s="34"/>
      <c r="S3" s="34"/>
      <c r="T3" s="34"/>
      <c r="U3" s="32"/>
      <c r="V3" s="34"/>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4"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5">
        <v>2026</v>
      </c>
    </row>
    <row r="6" spans="2:34" ht="30" customHeight="1">
      <c r="B6" s="5"/>
      <c r="C6" s="15" t="str">
        <f>TEXT(WEEKDAY(DATE(AnoCalendário,4,1),1),"ddd")</f>
        <v>qua</v>
      </c>
      <c r="D6" s="15" t="str">
        <f>TEXT(WEEKDAY(DATE(AnoCalendário,4,2),1),"ddd")</f>
        <v>qui</v>
      </c>
      <c r="E6" s="15" t="str">
        <f>TEXT(WEEKDAY(DATE(AnoCalendário,4,3),1),"ddd")</f>
        <v>sex</v>
      </c>
      <c r="F6" s="15" t="str">
        <f>TEXT(WEEKDAY(DATE(AnoCalendário,4,4),1),"ddd")</f>
        <v>sáb</v>
      </c>
      <c r="G6" s="15" t="str">
        <f>TEXT(WEEKDAY(DATE(AnoCalendário,4,5),1),"ddd")</f>
        <v>dom</v>
      </c>
      <c r="H6" s="15" t="str">
        <f>TEXT(WEEKDAY(DATE(AnoCalendário,4,6),1),"ddd")</f>
        <v>seg</v>
      </c>
      <c r="I6" s="15" t="str">
        <f>TEXT(WEEKDAY(DATE(AnoCalendário,4,7),1),"ddd")</f>
        <v>ter</v>
      </c>
      <c r="J6" s="15" t="str">
        <f>TEXT(WEEKDAY(DATE(AnoCalendário,4,8),1),"ddd")</f>
        <v>qua</v>
      </c>
      <c r="K6" s="15" t="str">
        <f>TEXT(WEEKDAY(DATE(AnoCalendário,4,9),1),"ddd")</f>
        <v>qui</v>
      </c>
      <c r="L6" s="15" t="str">
        <f>TEXT(WEEKDAY(DATE(AnoCalendário,4,10),1),"ddd")</f>
        <v>sex</v>
      </c>
      <c r="M6" s="15" t="str">
        <f>TEXT(WEEKDAY(DATE(AnoCalendário,4,11),1),"ddd")</f>
        <v>sáb</v>
      </c>
      <c r="N6" s="15" t="str">
        <f>TEXT(WEEKDAY(DATE(AnoCalendário,4,12),1),"ddd")</f>
        <v>dom</v>
      </c>
      <c r="O6" s="15" t="str">
        <f>TEXT(WEEKDAY(DATE(AnoCalendário,4,13),1),"ddd")</f>
        <v>seg</v>
      </c>
      <c r="P6" s="15" t="str">
        <f>TEXT(WEEKDAY(DATE(AnoCalendário,4,14),1),"ddd")</f>
        <v>ter</v>
      </c>
      <c r="Q6" s="15" t="str">
        <f>TEXT(WEEKDAY(DATE(AnoCalendário,4,15),1),"ddd")</f>
        <v>qua</v>
      </c>
      <c r="R6" s="15" t="str">
        <f>TEXT(WEEKDAY(DATE(AnoCalendário,4,16),1),"ddd")</f>
        <v>qui</v>
      </c>
      <c r="S6" s="15" t="str">
        <f>TEXT(WEEKDAY(DATE(AnoCalendário,4,17),1),"ddd")</f>
        <v>sex</v>
      </c>
      <c r="T6" s="15" t="str">
        <f>TEXT(WEEKDAY(DATE(AnoCalendário,4,18),1),"ddd")</f>
        <v>sáb</v>
      </c>
      <c r="U6" s="15" t="str">
        <f>TEXT(WEEKDAY(DATE(AnoCalendário,4,19),1),"ddd")</f>
        <v>dom</v>
      </c>
      <c r="V6" s="15" t="str">
        <f>TEXT(WEEKDAY(DATE(AnoCalendário,4,20),1),"ddd")</f>
        <v>seg</v>
      </c>
      <c r="W6" s="15" t="str">
        <f>TEXT(WEEKDAY(DATE(AnoCalendário,4,21),1),"ddd")</f>
        <v>ter</v>
      </c>
      <c r="X6" s="15" t="str">
        <f>TEXT(WEEKDAY(DATE(AnoCalendário,4,22),1),"ddd")</f>
        <v>qua</v>
      </c>
      <c r="Y6" s="15" t="str">
        <f>TEXT(WEEKDAY(DATE(AnoCalendário,4,23),1),"ddd")</f>
        <v>qui</v>
      </c>
      <c r="Z6" s="15" t="str">
        <f>TEXT(WEEKDAY(DATE(AnoCalendário,4,24),1),"ddd")</f>
        <v>sex</v>
      </c>
      <c r="AA6" s="15" t="str">
        <f>TEXT(WEEKDAY(DATE(AnoCalendário,4,25),1),"ddd")</f>
        <v>sáb</v>
      </c>
      <c r="AB6" s="15" t="str">
        <f>TEXT(WEEKDAY(DATE(AnoCalendário,4,26),1),"ddd")</f>
        <v>dom</v>
      </c>
      <c r="AC6" s="15" t="str">
        <f>TEXT(WEEKDAY(DATE(AnoCalendário,4,27),1),"ddd")</f>
        <v>seg</v>
      </c>
      <c r="AD6" s="15" t="str">
        <f>TEXT(WEEKDAY(DATE(AnoCalendário,4,28),1),"ddd")</f>
        <v>ter</v>
      </c>
      <c r="AE6" s="15" t="str">
        <f>TEXT(WEEKDAY(DATE(AnoCalendário,4,29),1),"ddd")</f>
        <v>qua</v>
      </c>
      <c r="AF6" s="15" t="str">
        <f>TEXT(WEEKDAY(DATE(AnoCalendário,4,30),1),"ddd")</f>
        <v>qui</v>
      </c>
      <c r="AG6" s="5"/>
    </row>
    <row r="7" spans="2:34"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6" t="s">
        <v>38</v>
      </c>
    </row>
    <row r="8" spans="2:34"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3">
        <f>COUNTA(March5[[#This Row],[1]:[30]])</f>
        <v>0</v>
      </c>
    </row>
    <row r="9" spans="2:34" ht="30" customHeight="1">
      <c r="B9" s="36"/>
      <c r="C9" s="1"/>
      <c r="D9" s="1"/>
      <c r="E9" s="1"/>
      <c r="F9" s="1"/>
      <c r="G9" s="1"/>
      <c r="H9" s="1"/>
      <c r="I9" s="54"/>
      <c r="J9" s="1"/>
      <c r="K9" s="1"/>
      <c r="L9" s="1"/>
      <c r="M9" s="1"/>
      <c r="N9" s="1"/>
      <c r="O9" s="1"/>
      <c r="P9" s="1"/>
      <c r="Q9" s="1"/>
      <c r="R9" s="1"/>
      <c r="S9" s="1"/>
      <c r="T9" s="1"/>
      <c r="U9" s="1"/>
      <c r="V9" s="1"/>
      <c r="W9" s="1"/>
      <c r="X9" s="1"/>
      <c r="Y9" s="1"/>
      <c r="Z9" s="1"/>
      <c r="AA9" s="1"/>
      <c r="AB9" s="1"/>
      <c r="AC9" s="1"/>
      <c r="AD9" s="1"/>
      <c r="AE9" s="1"/>
      <c r="AF9" s="1"/>
      <c r="AG9" s="3"/>
    </row>
    <row r="10" spans="2:34" ht="30" customHeight="1">
      <c r="B10" s="2" t="s">
        <v>41</v>
      </c>
      <c r="C10" s="1" t="s">
        <v>2</v>
      </c>
      <c r="D10" s="1" t="s">
        <v>2</v>
      </c>
      <c r="E10" s="1" t="s">
        <v>2</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3">
        <f>COUNTA(March5[[#This Row],[1]:[30]])</f>
        <v>3</v>
      </c>
    </row>
    <row r="11" spans="2:34" ht="30" customHeight="1">
      <c r="B11" s="36"/>
      <c r="C11" t="s">
        <v>52</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
    </row>
    <row r="12" spans="2:34" ht="30" customHeight="1">
      <c r="B12" s="2" t="s">
        <v>42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COUNTA(March5[[#This Row],[1]:[30]])</f>
        <v>0</v>
      </c>
    </row>
    <row r="13" spans="2:34" ht="30" customHeight="1">
      <c r="B13" s="36"/>
      <c r="C13" s="40"/>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3"/>
    </row>
    <row r="14" spans="2:34" ht="30" customHeight="1">
      <c r="B14" s="2" t="s">
        <v>44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3">
        <f>COUNTA(March5[[#This Row],[1]:[30]])</f>
        <v>0</v>
      </c>
    </row>
    <row r="15" spans="2:34" ht="30" customHeight="1">
      <c r="B15" s="36"/>
      <c r="C15" s="1"/>
      <c r="D15" s="1"/>
      <c r="E15" s="1"/>
      <c r="F15" s="1"/>
      <c r="G15" s="1"/>
      <c r="H15" s="1"/>
      <c r="I15" s="1"/>
      <c r="J15" s="54"/>
      <c r="K15" s="1"/>
      <c r="L15" s="1"/>
      <c r="M15" s="1"/>
      <c r="N15" s="1"/>
      <c r="O15" s="1"/>
      <c r="P15" s="1"/>
      <c r="Q15" s="1"/>
      <c r="R15" s="1"/>
      <c r="S15" s="1"/>
      <c r="T15" s="1"/>
      <c r="U15" s="1"/>
      <c r="V15" s="1"/>
      <c r="W15" s="1"/>
      <c r="X15" s="1"/>
      <c r="AA15" s="1"/>
      <c r="AB15" s="1"/>
      <c r="AC15" s="1"/>
      <c r="AD15" s="1"/>
      <c r="AE15" s="1"/>
      <c r="AF15" s="1"/>
      <c r="AG15" s="3"/>
    </row>
    <row r="16" spans="2:34" ht="30"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3">
        <f>COUNTA(March5[[#This Row],[1]:[30]])</f>
        <v>0</v>
      </c>
    </row>
    <row r="17" spans="2:33" ht="30" customHeight="1">
      <c r="B17" s="36"/>
      <c r="D17" s="1"/>
      <c r="E17" s="1"/>
      <c r="F17" s="1"/>
      <c r="G17" s="1"/>
      <c r="I17" s="1"/>
      <c r="J17" s="1"/>
      <c r="K17" s="1"/>
      <c r="L17" s="1"/>
      <c r="M17" s="1"/>
      <c r="N17" s="1"/>
      <c r="O17" s="1"/>
      <c r="P17" s="1"/>
      <c r="Q17" s="1"/>
      <c r="R17" s="1"/>
      <c r="S17" s="40"/>
      <c r="T17" s="1"/>
      <c r="U17" s="1"/>
      <c r="V17" s="1"/>
      <c r="W17" s="1"/>
      <c r="X17" s="1"/>
      <c r="Y17" s="1"/>
      <c r="Z17" s="1"/>
      <c r="AA17" s="1"/>
      <c r="AB17" s="1"/>
      <c r="AC17" s="1"/>
      <c r="AD17" s="1"/>
      <c r="AE17" s="1"/>
      <c r="AF17" s="1"/>
      <c r="AG17" s="3"/>
    </row>
    <row r="18" spans="2:33" ht="30" customHeight="1">
      <c r="B18" s="1" t="s">
        <v>48</v>
      </c>
      <c r="C18" s="4">
        <f>COUNTA(C8,C10,C12,C14,C16)</f>
        <v>1</v>
      </c>
      <c r="D18" s="4">
        <f t="shared" ref="D18:AE18" si="0">COUNTA(D8,D10,D12,D14,D16)</f>
        <v>1</v>
      </c>
      <c r="E18" s="4">
        <f t="shared" si="0"/>
        <v>1</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COUNTA(AF8,AF10,AF12,AF14,AF16)</f>
        <v>0</v>
      </c>
      <c r="AG18" s="4"/>
    </row>
  </sheetData>
  <mergeCells count="5">
    <mergeCell ref="D3:E3"/>
    <mergeCell ref="H3:K3"/>
    <mergeCell ref="B1:AG1"/>
    <mergeCell ref="N3:O3"/>
    <mergeCell ref="C5:AF5"/>
  </mergeCells>
  <phoneticPr fontId="5" type="noConversion"/>
  <conditionalFormatting sqref="C13">
    <cfRule type="cellIs" dxfId="876" priority="31" operator="equal">
      <formula>"L"</formula>
    </cfRule>
    <cfRule type="cellIs" dxfId="875" priority="32" operator="equal">
      <formula>"A"</formula>
    </cfRule>
    <cfRule type="expression" dxfId="874" priority="40" stopIfTrue="1">
      <formula>C13=ChaveFérias</formula>
    </cfRule>
    <cfRule type="expression" dxfId="873" priority="39" stopIfTrue="1">
      <formula>C13=ChavePessoal</formula>
    </cfRule>
    <cfRule type="expression" dxfId="872" priority="38" stopIfTrue="1">
      <formula>C13=ChaveLicençaMédica</formula>
    </cfRule>
    <cfRule type="expression" dxfId="871" priority="37" stopIfTrue="1">
      <formula>C13=ChavePersonalizada1</formula>
    </cfRule>
    <cfRule type="expression" dxfId="870" priority="36" stopIfTrue="1">
      <formula>C13=ChavePersonalizada2</formula>
    </cfRule>
    <cfRule type="expression" priority="35" stopIfTrue="1">
      <formula>C13=""</formula>
    </cfRule>
    <cfRule type="cellIs" dxfId="869" priority="34" operator="equal">
      <formula>"A"</formula>
    </cfRule>
    <cfRule type="cellIs" dxfId="868" priority="33" operator="equal">
      <formula>"A"</formula>
    </cfRule>
  </conditionalFormatting>
  <conditionalFormatting sqref="C8:AF8 C9:H9 J9:AF9 C10:AF12 D13:AF13 C14:AF14 C15:I15 K15:AF15 C16:AF16 C17:R17 T17:AF17">
    <cfRule type="expression" dxfId="867" priority="48" stopIfTrue="1">
      <formula>C8=ChaveFérias</formula>
    </cfRule>
    <cfRule type="expression" dxfId="866" priority="47" stopIfTrue="1">
      <formula>C8=ChavePessoal</formula>
    </cfRule>
    <cfRule type="expression" dxfId="865" priority="46" stopIfTrue="1">
      <formula>C8=ChaveLicençaMédica</formula>
    </cfRule>
    <cfRule type="expression" dxfId="864" priority="45" stopIfTrue="1">
      <formula>C8=ChavePersonalizada1</formula>
    </cfRule>
    <cfRule type="expression" priority="43" stopIfTrue="1">
      <formula>C8=""</formula>
    </cfRule>
    <cfRule type="expression" dxfId="863" priority="44" stopIfTrue="1">
      <formula>C8=ChavePersonalizada2</formula>
    </cfRule>
    <cfRule type="cellIs" dxfId="862" priority="42" operator="equal">
      <formula>"A"</formula>
    </cfRule>
    <cfRule type="cellIs" dxfId="861" priority="41" operator="equal">
      <formula>"L"</formula>
    </cfRule>
  </conditionalFormatting>
  <conditionalFormatting sqref="I9">
    <cfRule type="expression" dxfId="860" priority="29" stopIfTrue="1">
      <formula>I9=ChavePessoal</formula>
    </cfRule>
    <cfRule type="expression" dxfId="859" priority="30" stopIfTrue="1">
      <formula>I9=ChaveFérias</formula>
    </cfRule>
    <cfRule type="cellIs" dxfId="858" priority="21" operator="equal">
      <formula>"L"</formula>
    </cfRule>
    <cfRule type="cellIs" dxfId="857" priority="22" operator="equal">
      <formula>"A"</formula>
    </cfRule>
    <cfRule type="cellIs" dxfId="856" priority="23" operator="equal">
      <formula>"A"</formula>
    </cfRule>
    <cfRule type="cellIs" dxfId="855" priority="24" operator="equal">
      <formula>"A"</formula>
    </cfRule>
    <cfRule type="expression" priority="25" stopIfTrue="1">
      <formula>I9=""</formula>
    </cfRule>
    <cfRule type="expression" dxfId="854" priority="26" stopIfTrue="1">
      <formula>I9=ChavePersonalizada2</formula>
    </cfRule>
    <cfRule type="expression" dxfId="853" priority="27" stopIfTrue="1">
      <formula>I9=ChavePersonalizada1</formula>
    </cfRule>
    <cfRule type="expression" dxfId="852" priority="28" stopIfTrue="1">
      <formula>I9=ChaveLicençaMédica</formula>
    </cfRule>
  </conditionalFormatting>
  <conditionalFormatting sqref="J15">
    <cfRule type="cellIs" dxfId="851" priority="13" operator="equal">
      <formula>"A"</formula>
    </cfRule>
    <cfRule type="expression" dxfId="850" priority="19" stopIfTrue="1">
      <formula>J15=ChavePessoal</formula>
    </cfRule>
    <cfRule type="expression" dxfId="849" priority="20" stopIfTrue="1">
      <formula>J15=ChaveFérias</formula>
    </cfRule>
    <cfRule type="expression" dxfId="848" priority="18" stopIfTrue="1">
      <formula>J15=ChaveLicençaMédica</formula>
    </cfRule>
    <cfRule type="expression" dxfId="847" priority="17" stopIfTrue="1">
      <formula>J15=ChavePersonalizada1</formula>
    </cfRule>
    <cfRule type="expression" dxfId="846" priority="16" stopIfTrue="1">
      <formula>J15=ChavePersonalizada2</formula>
    </cfRule>
    <cfRule type="expression" priority="15" stopIfTrue="1">
      <formula>J15=""</formula>
    </cfRule>
    <cfRule type="cellIs" dxfId="845" priority="14" operator="equal">
      <formula>"A"</formula>
    </cfRule>
    <cfRule type="cellIs" dxfId="844" priority="12" operator="equal">
      <formula>"A"</formula>
    </cfRule>
    <cfRule type="cellIs" dxfId="843" priority="11" operator="equal">
      <formula>"L"</formula>
    </cfRule>
  </conditionalFormatting>
  <conditionalFormatting sqref="S17">
    <cfRule type="cellIs" dxfId="842" priority="2" operator="equal">
      <formula>"A"</formula>
    </cfRule>
    <cfRule type="expression" dxfId="841" priority="7" stopIfTrue="1">
      <formula>S17=ChavePersonalizada1</formula>
    </cfRule>
    <cfRule type="expression" dxfId="840" priority="10" stopIfTrue="1">
      <formula>S17=ChaveFérias</formula>
    </cfRule>
    <cfRule type="expression" dxfId="839" priority="9" stopIfTrue="1">
      <formula>S17=ChavePessoal</formula>
    </cfRule>
    <cfRule type="cellIs" dxfId="838" priority="1" operator="equal">
      <formula>"L"</formula>
    </cfRule>
    <cfRule type="expression" dxfId="837" priority="8" stopIfTrue="1">
      <formula>S17=ChaveLicençaMédica</formula>
    </cfRule>
    <cfRule type="expression" dxfId="836" priority="6" stopIfTrue="1">
      <formula>S17=ChavePersonalizada2</formula>
    </cfRule>
    <cfRule type="expression" priority="5" stopIfTrue="1">
      <formula>S17=""</formula>
    </cfRule>
    <cfRule type="cellIs" dxfId="835" priority="4" operator="equal">
      <formula>"A"</formula>
    </cfRule>
    <cfRule type="cellIs" dxfId="834" priority="3" operator="equal">
      <formula>"A"</formula>
    </cfRule>
  </conditionalFormatting>
  <conditionalFormatting sqref="AG8:AG17">
    <cfRule type="dataBar" priority="49">
      <dataBar>
        <cfvo type="min"/>
        <cfvo type="formula" val="DATEDIF(DATE(AnoCalendário,2,1),DATE(AnoCalendário,3,1),&quot;d&quot;)"/>
        <color theme="2" tint="-0.249977111117893"/>
      </dataBar>
      <extLst>
        <ext xmlns:x14="http://schemas.microsoft.com/office/spreadsheetml/2009/9/main" uri="{B025F937-C7B1-47D3-B67F-A62EFF666E3E}">
          <x14:id>{C6C51CE4-E5A5-6548-B677-75BFC57A1AE7}</x14:id>
        </ext>
      </extLst>
    </cfRule>
  </conditionalFormatting>
  <dataValidations count="13">
    <dataValidation allowBlank="1" showInputMessage="1" showErrorMessage="1" prompt="Calcula automaticamente o número total de dias que um funcionário esteve ausente neste mês nesta coluna" sqref="AG7" xr:uid="{DC341019-F88D-494A-80A9-FE7E975A2861}"/>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DECBF159-0BD0-4322-B4C5-E86E959EA435}"/>
    <dataValidation allowBlank="1" showInputMessage="1" showErrorMessage="1" prompt="O título atualizado automaticamente está nesta célula. Para modificar o título, atualize B1 na planilha Janeiro." sqref="B1" xr:uid="{87830420-BA9D-4107-A29B-CD24AF4574C0}"/>
    <dataValidation allowBlank="1" showInputMessage="1" showErrorMessage="1" prompt="A letra &quot;F&quot; indica falta devido a férias." sqref="C3" xr:uid="{A9C4740F-E971-42D7-8C4B-04A6B4774E60}"/>
    <dataValidation allowBlank="1" showInputMessage="1" showErrorMessage="1" prompt="A letra &quot;P&quot; indica falta devido a motivos pessoais." sqref="G3" xr:uid="{47860890-3459-4961-AE44-0905A2E48A30}"/>
    <dataValidation allowBlank="1" showInputMessage="1" showErrorMessage="1" prompt="A letra &quot;L&quot; indica falta devido à licença médica." sqref="M3" xr:uid="{125B513A-E37A-439C-BC50-4DDC8DDB562A}"/>
    <dataValidation allowBlank="1" showInputMessage="1" showErrorMessage="1" prompt="Insira uma letra e personalize o rótulo à direita para adicionar outro item de chave." sqref="U3" xr:uid="{D6CD6DEA-0056-CD45-92F4-DEFAAA621621}"/>
    <dataValidation allowBlank="1" showInputMessage="1" showErrorMessage="1" prompt="Insira um rótulo para descrever a chave personalizada à esquerda." sqref="V3 Q3" xr:uid="{3D377D6E-BC27-654F-9B85-1EA9759F1F9B}"/>
    <dataValidation allowBlank="1" showInputMessage="1" showErrorMessage="1" prompt="O nome do mês para essa agenda de faltas está nesta célula. Os totais de faltas deste mês estão na última célula da tabela. Selecione os nomes dos funcionários na tabela B." sqref="B1" xr:uid="{0AA2C81B-48E4-4828-933D-C7643283A969}"/>
    <dataValidation allowBlank="1" showInputMessage="1" showErrorMessage="1" prompt="Os dias do mês nesta linha são gerados automaticamente. Insira a falta e o tipo de falta de um funcionário em cada coluna de cada dia do mês. Espaço vazio significa sem faltas." sqref="C7" xr:uid="{D8726BCE-956C-3B41-916D-0B0F98B156A4}"/>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492FF65C-4A5C-D048-AC41-58954D7E6423}"/>
    <dataValidation allowBlank="1" showInputMessage="1" showErrorMessage="1" prompt="Esta linha define as chaves utilizadas na tabela: a célula C4 é Férias, G4 é Pessoal e K4 é Licença médica. As células N4 e R4 são personalizáveis " sqref="B3" xr:uid="{9FC65BC0-AECF-4BC2-BC1D-5D6CDD70E8D7}"/>
    <dataValidation allowBlank="1" showInputMessage="1" showErrorMessage="1" prompt="Insira o ano nesta célula." sqref="AG5" xr:uid="{BE48022B-71FD-4567-B3C0-0C1F8BDF338F}"/>
  </dataValidations>
  <pageMargins left="0.7" right="0.7" top="0.75" bottom="0.75" header="0.3" footer="0.3"/>
  <pageSetup paperSize="9" fitToHeight="0" orientation="portrait" verticalDpi="4294967293" r:id="rId1"/>
  <ignoredErrors>
    <ignoredError sqref="AG8 AG10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6C51CE4-E5A5-6548-B677-75BFC57A1AE7}">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0626E6-C18A-DC42-8971-E3030B4FEB3F}">
          <x14:formula1>
            <xm:f>Diretores!$B$3:$B$7</xm:f>
          </x14:formula1>
          <xm:sqref>B8:B17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AI18"/>
  <sheetViews>
    <sheetView showGridLines="0" zoomScale="90" zoomScaleNormal="90" workbookViewId="0">
      <selection activeCell="H15" sqref="H15:I15"/>
    </sheetView>
  </sheetViews>
  <sheetFormatPr defaultColWidth="8.7109375" defaultRowHeight="30" customHeight="1"/>
  <cols>
    <col min="1" max="1" width="2.7109375" customWidth="1"/>
    <col min="2" max="2" width="33.140625" customWidth="1"/>
    <col min="3" max="33" width="4.7109375" customWidth="1"/>
    <col min="34" max="34" width="14.85546875" customWidth="1"/>
    <col min="35" max="35" width="2.7109375" customWidth="1"/>
  </cols>
  <sheetData>
    <row r="1" spans="2:35" ht="61.5">
      <c r="B1" s="77" t="s">
        <v>55</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35"/>
    </row>
    <row r="2" spans="2:35"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5" ht="30" customHeight="1">
      <c r="B3" s="24" t="s">
        <v>1</v>
      </c>
      <c r="C3" s="18" t="s">
        <v>2</v>
      </c>
      <c r="D3" s="78" t="s">
        <v>3</v>
      </c>
      <c r="E3" s="78"/>
      <c r="G3" s="73"/>
      <c r="H3" s="79"/>
      <c r="I3" s="79"/>
      <c r="J3" s="79"/>
      <c r="K3" s="79"/>
      <c r="M3" s="17" t="s">
        <v>4</v>
      </c>
      <c r="N3" s="78" t="s">
        <v>5</v>
      </c>
      <c r="O3" s="78"/>
      <c r="P3" s="34"/>
      <c r="Q3" s="38"/>
      <c r="R3" s="38"/>
      <c r="S3" s="38"/>
      <c r="T3" s="38"/>
      <c r="U3" s="32"/>
      <c r="V3" s="38"/>
      <c r="W3" s="34"/>
      <c r="X3" s="34"/>
      <c r="Y3" s="34"/>
    </row>
    <row r="4" spans="2:35" ht="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5"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v>2026</v>
      </c>
    </row>
    <row r="6" spans="2:35" ht="30" customHeight="1">
      <c r="B6" s="5"/>
      <c r="C6" s="15" t="str">
        <f>TEXT(WEEKDAY(DATE(AnoCalendário,5,1),1),"ddd")</f>
        <v>sex</v>
      </c>
      <c r="D6" s="15" t="str">
        <f>TEXT(WEEKDAY(DATE(AnoCalendário,5,2),1),"ddd")</f>
        <v>sáb</v>
      </c>
      <c r="E6" s="15" t="str">
        <f>TEXT(WEEKDAY(DATE(AnoCalendário,5,3),1),"ddd")</f>
        <v>dom</v>
      </c>
      <c r="F6" s="15" t="str">
        <f>TEXT(WEEKDAY(DATE(AnoCalendário,5,4),1),"ddd")</f>
        <v>seg</v>
      </c>
      <c r="G6" s="15" t="str">
        <f>TEXT(WEEKDAY(DATE(AnoCalendário,5,5),1),"ddd")</f>
        <v>ter</v>
      </c>
      <c r="H6" s="15" t="str">
        <f>TEXT(WEEKDAY(DATE(AnoCalendário,5,6),1),"ddd")</f>
        <v>qua</v>
      </c>
      <c r="I6" s="15" t="str">
        <f>TEXT(WEEKDAY(DATE(AnoCalendário,5,7),1),"ddd")</f>
        <v>qui</v>
      </c>
      <c r="J6" s="15" t="str">
        <f>TEXT(WEEKDAY(DATE(AnoCalendário,5,8),1),"ddd")</f>
        <v>sex</v>
      </c>
      <c r="K6" s="15" t="str">
        <f>TEXT(WEEKDAY(DATE(AnoCalendário,5,9),1),"ddd")</f>
        <v>sáb</v>
      </c>
      <c r="L6" s="15" t="str">
        <f>TEXT(WEEKDAY(DATE(AnoCalendário,5,10),1),"ddd")</f>
        <v>dom</v>
      </c>
      <c r="M6" s="15" t="str">
        <f>TEXT(WEEKDAY(DATE(AnoCalendário,5,11),1),"ddd")</f>
        <v>seg</v>
      </c>
      <c r="N6" s="15" t="str">
        <f>TEXT(WEEKDAY(DATE(AnoCalendário,5,12),1),"ddd")</f>
        <v>ter</v>
      </c>
      <c r="O6" s="15" t="str">
        <f>TEXT(WEEKDAY(DATE(AnoCalendário,5,13),1),"ddd")</f>
        <v>qua</v>
      </c>
      <c r="P6" s="15" t="str">
        <f>TEXT(WEEKDAY(DATE(AnoCalendário,5,14),1),"ddd")</f>
        <v>qui</v>
      </c>
      <c r="Q6" s="15" t="str">
        <f>TEXT(WEEKDAY(DATE(AnoCalendário,5,15),1),"ddd")</f>
        <v>sex</v>
      </c>
      <c r="R6" s="15" t="str">
        <f>TEXT(WEEKDAY(DATE(AnoCalendário,5,16),1),"ddd")</f>
        <v>sáb</v>
      </c>
      <c r="S6" s="15" t="str">
        <f>TEXT(WEEKDAY(DATE(AnoCalendário,5,17),1),"ddd")</f>
        <v>dom</v>
      </c>
      <c r="T6" s="15" t="str">
        <f>TEXT(WEEKDAY(DATE(AnoCalendário,5,18),1),"ddd")</f>
        <v>seg</v>
      </c>
      <c r="U6" s="15" t="str">
        <f>TEXT(WEEKDAY(DATE(AnoCalendário,5,19),1),"ddd")</f>
        <v>ter</v>
      </c>
      <c r="V6" s="15" t="str">
        <f>TEXT(WEEKDAY(DATE(AnoCalendário,5,20),1),"ddd")</f>
        <v>qua</v>
      </c>
      <c r="W6" s="15" t="str">
        <f>TEXT(WEEKDAY(DATE(AnoCalendário,5,21),1),"ddd")</f>
        <v>qui</v>
      </c>
      <c r="X6" s="15" t="str">
        <f>TEXT(WEEKDAY(DATE(AnoCalendário,5,22),1),"ddd")</f>
        <v>sex</v>
      </c>
      <c r="Y6" s="15" t="str">
        <f>TEXT(WEEKDAY(DATE(AnoCalendário,5,23),1),"ddd")</f>
        <v>sáb</v>
      </c>
      <c r="Z6" s="15" t="str">
        <f>TEXT(WEEKDAY(DATE(AnoCalendário,5,24),1),"ddd")</f>
        <v>dom</v>
      </c>
      <c r="AA6" s="15" t="str">
        <f>TEXT(WEEKDAY(DATE(AnoCalendário,5,25),1),"ddd")</f>
        <v>seg</v>
      </c>
      <c r="AB6" s="15" t="str">
        <f>TEXT(WEEKDAY(DATE(AnoCalendário,5,26),1),"ddd")</f>
        <v>ter</v>
      </c>
      <c r="AC6" s="15" t="str">
        <f>TEXT(WEEKDAY(DATE(AnoCalendário,5,27),1),"ddd")</f>
        <v>qua</v>
      </c>
      <c r="AD6" s="15" t="str">
        <f>TEXT(WEEKDAY(DATE(AnoCalendário,5,28),1),"ddd")</f>
        <v>qui</v>
      </c>
      <c r="AE6" s="15" t="str">
        <f>TEXT(WEEKDAY(DATE(AnoCalendário,5,29),1),"ddd")</f>
        <v>sex</v>
      </c>
      <c r="AF6" s="15" t="str">
        <f>TEXT(WEEKDAY(DATE(AnoCalendário,5,30),1),"ddd")</f>
        <v>sáb</v>
      </c>
      <c r="AG6" s="15" t="str">
        <f>TEXT(WEEKDAY(DATE(AnoCalendário,5,31),1),"ddd")</f>
        <v>dom</v>
      </c>
      <c r="AH6" s="5"/>
    </row>
    <row r="7" spans="2:35"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row>
    <row r="8" spans="2:35"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COUNTA(March58[[#This Row],[1]:[31]])</f>
        <v>0</v>
      </c>
    </row>
    <row r="9" spans="2:35" ht="30" customHeight="1">
      <c r="B9" s="36"/>
      <c r="E9" s="55"/>
      <c r="F9" s="1"/>
      <c r="G9" s="1"/>
      <c r="H9" s="1"/>
      <c r="I9" s="1"/>
      <c r="J9" s="1"/>
      <c r="K9" s="1"/>
      <c r="L9" s="1"/>
      <c r="M9" s="1"/>
      <c r="N9" s="1"/>
      <c r="O9" s="1"/>
      <c r="P9" s="1"/>
      <c r="Q9" s="1"/>
      <c r="R9" s="1"/>
      <c r="T9" s="1"/>
      <c r="U9" s="1"/>
      <c r="V9" s="1"/>
      <c r="W9" s="1"/>
      <c r="X9" s="1"/>
      <c r="Y9" s="1"/>
      <c r="Z9" s="1"/>
      <c r="AA9" s="1"/>
      <c r="AB9" s="1"/>
      <c r="AC9" s="1"/>
      <c r="AD9" s="1"/>
      <c r="AE9" s="1"/>
      <c r="AF9" s="1"/>
      <c r="AG9" s="37"/>
      <c r="AH9" s="3"/>
    </row>
    <row r="10" spans="2:35"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COUNTA(March58[[#This Row],[1]:[31]])</f>
        <v>0</v>
      </c>
    </row>
    <row r="11" spans="2:35"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5" ht="30" customHeight="1">
      <c r="B12" s="2" t="s">
        <v>42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COUNTA(March58[[#This Row],[1]:[31]])</f>
        <v>0</v>
      </c>
    </row>
    <row r="13" spans="2:35" ht="30" customHeight="1">
      <c r="B13" s="36"/>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37"/>
      <c r="AH13" s="3"/>
    </row>
    <row r="14" spans="2:35" ht="30" customHeight="1">
      <c r="B14" s="2" t="s">
        <v>44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COUNTA(March58[[#This Row],[1]:[31]])</f>
        <v>0</v>
      </c>
    </row>
    <row r="15" spans="2:35" ht="30" customHeight="1">
      <c r="B15" s="36"/>
      <c r="D15" s="1"/>
      <c r="E15" s="54"/>
      <c r="F15" s="1"/>
      <c r="G15" s="1"/>
      <c r="H15" s="1"/>
      <c r="I15" s="1"/>
      <c r="J15" s="1"/>
      <c r="K15" s="1"/>
      <c r="L15" s="1"/>
      <c r="M15" s="1"/>
      <c r="N15" s="1"/>
      <c r="O15" s="1"/>
      <c r="P15" s="1"/>
      <c r="Q15" s="1"/>
      <c r="R15" s="1"/>
      <c r="S15" s="1"/>
      <c r="T15" s="1"/>
      <c r="U15" s="1"/>
      <c r="V15" s="54"/>
      <c r="W15" s="1"/>
      <c r="X15" s="1"/>
      <c r="Y15" s="1"/>
      <c r="Z15" s="1"/>
      <c r="AA15" s="1"/>
      <c r="AB15" s="1"/>
      <c r="AC15" s="1"/>
      <c r="AD15" s="1"/>
      <c r="AE15" s="1"/>
      <c r="AF15" s="1"/>
      <c r="AG15" s="37"/>
      <c r="AH15" s="3"/>
    </row>
    <row r="16" spans="2:35" ht="30"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COUNTA(March58[[#This Row],[1]:[31]])</f>
        <v>0</v>
      </c>
    </row>
    <row r="17" spans="2:34" ht="30" customHeight="1">
      <c r="B17" s="36"/>
      <c r="C17" s="1"/>
      <c r="D17" s="1"/>
      <c r="E17" s="1"/>
      <c r="F17" s="1"/>
      <c r="G17" s="1"/>
      <c r="H17" s="40"/>
      <c r="I17" s="1"/>
      <c r="J17" s="1"/>
      <c r="K17" s="1"/>
      <c r="L17" s="1"/>
      <c r="M17" s="1"/>
      <c r="N17" s="1"/>
      <c r="O17" s="1"/>
      <c r="P17" s="1"/>
      <c r="Q17" s="1"/>
      <c r="R17" s="1"/>
      <c r="S17" s="1"/>
      <c r="T17" s="1"/>
      <c r="U17" s="1"/>
      <c r="V17" s="1"/>
      <c r="W17" s="1"/>
      <c r="X17" s="1"/>
      <c r="Y17" s="1"/>
      <c r="Z17" s="1"/>
      <c r="AA17" s="1"/>
      <c r="AB17" s="1"/>
      <c r="AC17" s="1"/>
      <c r="AD17" s="1"/>
      <c r="AE17" s="1"/>
      <c r="AF17" s="1"/>
      <c r="AG17" s="37"/>
      <c r="AH17" s="3"/>
    </row>
    <row r="18" spans="2:34" ht="30" customHeight="1">
      <c r="B18" s="1" t="s">
        <v>48</v>
      </c>
      <c r="C18" s="4">
        <f>COUNTA(C8,C10,C12,C14,C16)</f>
        <v>0</v>
      </c>
      <c r="D18" s="4">
        <f t="shared" ref="D18:AF18" si="0">COUNTA(D8,D10,D12,D14,D16)</f>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0</v>
      </c>
      <c r="AG18" s="4">
        <f>COUNTA(AG8,AG10,AG12,AG14,AG16)</f>
        <v>0</v>
      </c>
      <c r="AH18" s="4"/>
    </row>
  </sheetData>
  <mergeCells count="5">
    <mergeCell ref="D3:E3"/>
    <mergeCell ref="H3:K3"/>
    <mergeCell ref="B1:AH1"/>
    <mergeCell ref="N3:O3"/>
    <mergeCell ref="C5:AG5"/>
  </mergeCells>
  <phoneticPr fontId="26" type="noConversion"/>
  <conditionalFormatting sqref="C8:AG8 C9:D9 F9:AG9 C10:AG14 C15:D15 F15:U15 W15:AG15 C16:AG16 C17:G17 I17:AG17">
    <cfRule type="expression" dxfId="766" priority="44" stopIfTrue="1">
      <formula>C8=ChavePersonalizada2</formula>
    </cfRule>
    <cfRule type="cellIs" dxfId="765" priority="42" operator="equal">
      <formula>"A"</formula>
    </cfRule>
    <cfRule type="cellIs" dxfId="764" priority="41" operator="equal">
      <formula>"L"</formula>
    </cfRule>
    <cfRule type="expression" priority="43" stopIfTrue="1">
      <formula>C8=""</formula>
    </cfRule>
    <cfRule type="expression" dxfId="763" priority="48" stopIfTrue="1">
      <formula>C8=ChaveFérias</formula>
    </cfRule>
    <cfRule type="expression" dxfId="762" priority="47" stopIfTrue="1">
      <formula>C8=ChavePessoal</formula>
    </cfRule>
    <cfRule type="expression" dxfId="761" priority="46" stopIfTrue="1">
      <formula>C8=ChaveLicençaMédica</formula>
    </cfRule>
    <cfRule type="expression" dxfId="760" priority="45" stopIfTrue="1">
      <formula>C8=ChavePersonalizada1</formula>
    </cfRule>
  </conditionalFormatting>
  <conditionalFormatting sqref="E9">
    <cfRule type="cellIs" dxfId="759" priority="13" operator="equal">
      <formula>"A"</formula>
    </cfRule>
    <cfRule type="expression" dxfId="758" priority="19" stopIfTrue="1">
      <formula>E9=ChavePessoal</formula>
    </cfRule>
    <cfRule type="expression" dxfId="757" priority="20" stopIfTrue="1">
      <formula>E9=ChaveFérias</formula>
    </cfRule>
    <cfRule type="cellIs" dxfId="756" priority="11" operator="equal">
      <formula>"L"</formula>
    </cfRule>
    <cfRule type="cellIs" dxfId="755" priority="12" operator="equal">
      <formula>"A"</formula>
    </cfRule>
    <cfRule type="cellIs" dxfId="754" priority="14" operator="equal">
      <formula>"A"</formula>
    </cfRule>
    <cfRule type="expression" priority="15" stopIfTrue="1">
      <formula>E9=""</formula>
    </cfRule>
    <cfRule type="expression" dxfId="753" priority="16" stopIfTrue="1">
      <formula>E9=ChavePersonalizada2</formula>
    </cfRule>
    <cfRule type="expression" dxfId="752" priority="17" stopIfTrue="1">
      <formula>E9=ChavePersonalizada1</formula>
    </cfRule>
    <cfRule type="expression" dxfId="751" priority="18" stopIfTrue="1">
      <formula>E9=ChaveLicençaMédica</formula>
    </cfRule>
  </conditionalFormatting>
  <conditionalFormatting sqref="E15">
    <cfRule type="expression" priority="35" stopIfTrue="1">
      <formula>E15=""</formula>
    </cfRule>
    <cfRule type="expression" dxfId="750" priority="36" stopIfTrue="1">
      <formula>E15=ChavePersonalizada2</formula>
    </cfRule>
    <cfRule type="expression" dxfId="749" priority="38" stopIfTrue="1">
      <formula>E15=ChaveLicençaMédica</formula>
    </cfRule>
    <cfRule type="expression" dxfId="748" priority="39" stopIfTrue="1">
      <formula>E15=ChavePessoal</formula>
    </cfRule>
    <cfRule type="expression" dxfId="747" priority="40" stopIfTrue="1">
      <formula>E15=ChaveFérias</formula>
    </cfRule>
    <cfRule type="cellIs" dxfId="746" priority="31" operator="equal">
      <formula>"L"</formula>
    </cfRule>
    <cfRule type="expression" dxfId="745" priority="37" stopIfTrue="1">
      <formula>E15=ChavePersonalizada1</formula>
    </cfRule>
    <cfRule type="cellIs" dxfId="744" priority="32" operator="equal">
      <formula>"A"</formula>
    </cfRule>
    <cfRule type="cellIs" dxfId="743" priority="33" operator="equal">
      <formula>"A"</formula>
    </cfRule>
    <cfRule type="cellIs" dxfId="742" priority="34" operator="equal">
      <formula>"A"</formula>
    </cfRule>
  </conditionalFormatting>
  <conditionalFormatting sqref="H17">
    <cfRule type="expression" dxfId="741" priority="28" stopIfTrue="1">
      <formula>H17=ChaveLicençaMédica</formula>
    </cfRule>
    <cfRule type="expression" dxfId="740" priority="29" stopIfTrue="1">
      <formula>H17=ChavePessoal</formula>
    </cfRule>
    <cfRule type="expression" dxfId="739" priority="30" stopIfTrue="1">
      <formula>H17=ChaveFérias</formula>
    </cfRule>
    <cfRule type="cellIs" dxfId="738" priority="24" operator="equal">
      <formula>"A"</formula>
    </cfRule>
    <cfRule type="expression" priority="25" stopIfTrue="1">
      <formula>H17=""</formula>
    </cfRule>
    <cfRule type="expression" dxfId="737" priority="26" stopIfTrue="1">
      <formula>H17=ChavePersonalizada2</formula>
    </cfRule>
    <cfRule type="expression" dxfId="736" priority="27" stopIfTrue="1">
      <formula>H17=ChavePersonalizada1</formula>
    </cfRule>
    <cfRule type="cellIs" dxfId="735" priority="23" operator="equal">
      <formula>"A"</formula>
    </cfRule>
    <cfRule type="cellIs" dxfId="734" priority="22" operator="equal">
      <formula>"A"</formula>
    </cfRule>
    <cfRule type="cellIs" dxfId="733" priority="21" operator="equal">
      <formula>"L"</formula>
    </cfRule>
  </conditionalFormatting>
  <conditionalFormatting sqref="V15">
    <cfRule type="cellIs" dxfId="732" priority="2" operator="equal">
      <formula>"A"</formula>
    </cfRule>
    <cfRule type="cellIs" dxfId="731" priority="3" operator="equal">
      <formula>"A"</formula>
    </cfRule>
    <cfRule type="cellIs" dxfId="730" priority="4" operator="equal">
      <formula>"A"</formula>
    </cfRule>
    <cfRule type="expression" priority="5" stopIfTrue="1">
      <formula>V15=""</formula>
    </cfRule>
    <cfRule type="expression" dxfId="729" priority="6" stopIfTrue="1">
      <formula>V15=ChavePersonalizada2</formula>
    </cfRule>
    <cfRule type="cellIs" dxfId="728" priority="1" operator="equal">
      <formula>"L"</formula>
    </cfRule>
    <cfRule type="expression" dxfId="727" priority="7" stopIfTrue="1">
      <formula>V15=ChavePersonalizada1</formula>
    </cfRule>
    <cfRule type="expression" dxfId="726" priority="10" stopIfTrue="1">
      <formula>V15=ChaveFérias</formula>
    </cfRule>
    <cfRule type="expression" dxfId="725" priority="9" stopIfTrue="1">
      <formula>V15=ChavePessoal</formula>
    </cfRule>
    <cfRule type="expression" dxfId="724" priority="8" stopIfTrue="1">
      <formula>V15=ChaveLicençaMédica</formula>
    </cfRule>
  </conditionalFormatting>
  <conditionalFormatting sqref="AH8:AH17">
    <cfRule type="dataBar" priority="49">
      <dataBar>
        <cfvo type="min"/>
        <cfvo type="formula" val="DATEDIF(DATE(AnoCalendário,2,1),DATE(AnoCalendário,3,1),&quot;d&quot;)"/>
        <color theme="2" tint="-0.249977111117893"/>
      </dataBar>
      <extLst>
        <ext xmlns:x14="http://schemas.microsoft.com/office/spreadsheetml/2009/9/main" uri="{B025F937-C7B1-47D3-B67F-A62EFF666E3E}">
          <x14:id>{A375B1A4-CE4E-6D4B-BAE6-14354F30C96E}</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335D4725-041B-2E47-BBA9-5D657DA932CD}"/>
    <dataValidation allowBlank="1" showInputMessage="1" showErrorMessage="1" prompt="Insira um rótulo para descrever a chave personalizada à esquerda." sqref="V3 Q3" xr:uid="{F2F4B9BA-4CA6-A143-BE13-C064DBB63530}"/>
    <dataValidation allowBlank="1" showInputMessage="1" showErrorMessage="1" prompt="Insira uma letra e personalize o rótulo à direita para adicionar outro item de chave." sqref="U3" xr:uid="{CF766EB9-3E0D-684E-A12B-CB8F4BAD775E}"/>
    <dataValidation allowBlank="1" showInputMessage="1" showErrorMessage="1" prompt="A letra &quot;L&quot; indica falta devido à licença médica." sqref="M3" xr:uid="{760A8A37-4952-4981-9A74-8FD195A96236}"/>
    <dataValidation allowBlank="1" showInputMessage="1" showErrorMessage="1" prompt="A letra &quot;P&quot; indica falta devido a motivos pessoais." sqref="G3" xr:uid="{0002AE97-39DA-452D-8487-95D1931D436A}"/>
    <dataValidation allowBlank="1" showInputMessage="1" showErrorMessage="1" prompt="A letra &quot;F&quot; indica falta devido a férias." sqref="C3" xr:uid="{1166AAB5-330F-42AC-87E8-51B375932F65}"/>
    <dataValidation allowBlank="1" showInputMessage="1" showErrorMessage="1" prompt="O título atualizado automaticamente está nesta célula. Para modificar o título, atualize B1 na planilha Janeiro." sqref="B1" xr:uid="{1D28B3A2-A0BA-41C1-A979-6020A42618AE}"/>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ED6FCE99-3C12-41EE-ACDF-8A796A12E456}"/>
    <dataValidation allowBlank="1" showInputMessage="1" showErrorMessage="1" prompt="Calcula automaticamente o número total de dias que um funcionário esteve ausente neste mês nesta coluna" sqref="AH7" xr:uid="{AA6AB7B7-5D91-F64F-B211-A848209375D2}"/>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01F3DA31-27D6-FF4D-B48B-4013BF344DCF}"/>
    <dataValidation allowBlank="1" showInputMessage="1" showErrorMessage="1" prompt="O nome do mês para essa agenda de faltas está nesta célula. Os totais de faltas deste mês estão na última célula da tabela. Selecione os nomes dos funcionários na tabela B." sqref="B1" xr:uid="{770E3387-CBB0-4A5D-949C-AFE3918EB8BB}"/>
    <dataValidation allowBlank="1" showInputMessage="1" showErrorMessage="1" prompt="Esta linha define as chaves utilizadas na tabela: a célula C4 é Férias, G4 é Pessoal e K4 é Licença médica. As células N4 e R4 são personalizáveis " sqref="B3" xr:uid="{18A20A4D-D441-449C-9653-B84A438A9B22}"/>
    <dataValidation allowBlank="1" showInputMessage="1" showErrorMessage="1" prompt="Insira o ano nesta célula." sqref="AH5" xr:uid="{D011021E-996D-473A-AB5F-18867CFFD3E2}"/>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375B1A4-CE4E-6D4B-BAE6-14354F30C96E}">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1B1DACF-B091-8040-A452-F5B0F1F6A6F7}">
          <x14:formula1>
            <xm:f>Diretores!$B$3:$B$7</xm:f>
          </x14:formula1>
          <xm:sqref>B8:B17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B1:AG18"/>
  <sheetViews>
    <sheetView showGridLines="0" zoomScale="90" zoomScaleNormal="90" workbookViewId="0">
      <selection activeCell="T12" sqref="T12"/>
    </sheetView>
  </sheetViews>
  <sheetFormatPr defaultColWidth="8.7109375" defaultRowHeight="30" customHeight="1"/>
  <cols>
    <col min="1" max="1" width="2.7109375" customWidth="1"/>
    <col min="2" max="2" width="33.42578125" bestFit="1" customWidth="1"/>
    <col min="3" max="32" width="4.7109375" customWidth="1"/>
    <col min="33" max="33" width="14.85546875" customWidth="1"/>
    <col min="34" max="34" width="2.7109375" customWidth="1"/>
  </cols>
  <sheetData>
    <row r="1" spans="2:33" ht="61.5">
      <c r="B1" s="77" t="s">
        <v>56</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2:33"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30" customHeight="1">
      <c r="B3" s="24" t="s">
        <v>1</v>
      </c>
      <c r="C3" s="18" t="s">
        <v>2</v>
      </c>
      <c r="D3" s="78" t="s">
        <v>3</v>
      </c>
      <c r="E3" s="78"/>
      <c r="G3" s="73"/>
      <c r="H3" s="79"/>
      <c r="I3" s="79"/>
      <c r="J3" s="79"/>
      <c r="K3" s="79"/>
      <c r="M3" s="17" t="s">
        <v>4</v>
      </c>
      <c r="N3" s="78" t="s">
        <v>5</v>
      </c>
      <c r="O3" s="78"/>
      <c r="P3" s="34"/>
      <c r="Q3" s="38"/>
      <c r="R3" s="38"/>
      <c r="S3" s="38"/>
      <c r="T3" s="38"/>
      <c r="U3" s="32"/>
      <c r="V3" s="38"/>
      <c r="W3" s="34"/>
      <c r="X3" s="34"/>
      <c r="Y3" s="34"/>
    </row>
    <row r="4" spans="2:33"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3"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5">
        <v>2026</v>
      </c>
    </row>
    <row r="6" spans="2:33" ht="30" customHeight="1">
      <c r="B6" s="5"/>
      <c r="C6" s="15" t="str">
        <f>TEXT(WEEKDAY(DATE(AnoCalendário,6,1),1),"ddd")</f>
        <v>seg</v>
      </c>
      <c r="D6" s="15" t="str">
        <f>TEXT(WEEKDAY(DATE(AnoCalendário,6,2),1),"ddd")</f>
        <v>ter</v>
      </c>
      <c r="E6" s="15" t="str">
        <f>TEXT(WEEKDAY(DATE(AnoCalendário,6,3),1),"ddd")</f>
        <v>qua</v>
      </c>
      <c r="F6" s="15" t="str">
        <f>TEXT(WEEKDAY(DATE(AnoCalendário,6,4),1),"ddd")</f>
        <v>qui</v>
      </c>
      <c r="G6" s="15" t="str">
        <f>TEXT(WEEKDAY(DATE(AnoCalendário,6,5),1),"ddd")</f>
        <v>sex</v>
      </c>
      <c r="H6" s="15" t="str">
        <f>TEXT(WEEKDAY(DATE(AnoCalendário,6,6),1),"ddd")</f>
        <v>sáb</v>
      </c>
      <c r="I6" s="15" t="str">
        <f>TEXT(WEEKDAY(DATE(AnoCalendário,6,7),1),"ddd")</f>
        <v>dom</v>
      </c>
      <c r="J6" s="15" t="str">
        <f>TEXT(WEEKDAY(DATE(AnoCalendário,6,8),1),"ddd")</f>
        <v>seg</v>
      </c>
      <c r="K6" s="15" t="str">
        <f>TEXT(WEEKDAY(DATE(AnoCalendário,6,9),1),"ddd")</f>
        <v>ter</v>
      </c>
      <c r="L6" s="15" t="str">
        <f>TEXT(WEEKDAY(DATE(AnoCalendário,6,10),1),"ddd")</f>
        <v>qua</v>
      </c>
      <c r="M6" s="15" t="str">
        <f>TEXT(WEEKDAY(DATE(AnoCalendário,6,11),1),"ddd")</f>
        <v>qui</v>
      </c>
      <c r="N6" s="15" t="str">
        <f>TEXT(WEEKDAY(DATE(AnoCalendário,6,12),1),"ddd")</f>
        <v>sex</v>
      </c>
      <c r="O6" s="15" t="str">
        <f>TEXT(WEEKDAY(DATE(AnoCalendário,6,13),1),"ddd")</f>
        <v>sáb</v>
      </c>
      <c r="P6" s="15" t="str">
        <f>TEXT(WEEKDAY(DATE(AnoCalendário,6,14),1),"ddd")</f>
        <v>dom</v>
      </c>
      <c r="Q6" s="15" t="str">
        <f>TEXT(WEEKDAY(DATE(AnoCalendário,6,15),1),"ddd")</f>
        <v>seg</v>
      </c>
      <c r="R6" s="15" t="str">
        <f>TEXT(WEEKDAY(DATE(AnoCalendário,6,16),1),"ddd")</f>
        <v>ter</v>
      </c>
      <c r="S6" s="15" t="str">
        <f>TEXT(WEEKDAY(DATE(AnoCalendário,6,17),1),"ddd")</f>
        <v>qua</v>
      </c>
      <c r="T6" s="15" t="str">
        <f>TEXT(WEEKDAY(DATE(AnoCalendário,6,18),1),"ddd")</f>
        <v>qui</v>
      </c>
      <c r="U6" s="15" t="str">
        <f>TEXT(WEEKDAY(DATE(AnoCalendário,6,19),1),"ddd")</f>
        <v>sex</v>
      </c>
      <c r="V6" s="15" t="str">
        <f>TEXT(WEEKDAY(DATE(AnoCalendário,6,20),1),"ddd")</f>
        <v>sáb</v>
      </c>
      <c r="W6" s="15" t="str">
        <f>TEXT(WEEKDAY(DATE(AnoCalendário,6,21),1),"ddd")</f>
        <v>dom</v>
      </c>
      <c r="X6" s="15" t="str">
        <f>TEXT(WEEKDAY(DATE(AnoCalendário,6,22),1),"ddd")</f>
        <v>seg</v>
      </c>
      <c r="Y6" s="15" t="str">
        <f>TEXT(WEEKDAY(DATE(AnoCalendário,6,23),1),"ddd")</f>
        <v>ter</v>
      </c>
      <c r="Z6" s="15" t="str">
        <f>TEXT(WEEKDAY(DATE(AnoCalendário,6,24),1),"ddd")</f>
        <v>qua</v>
      </c>
      <c r="AA6" s="15" t="str">
        <f>TEXT(WEEKDAY(DATE(AnoCalendário,6,25),1),"ddd")</f>
        <v>qui</v>
      </c>
      <c r="AB6" s="15" t="str">
        <f>TEXT(WEEKDAY(DATE(AnoCalendário,6,26),1),"ddd")</f>
        <v>sex</v>
      </c>
      <c r="AC6" s="15" t="str">
        <f>TEXT(WEEKDAY(DATE(AnoCalendário,6,27),1),"ddd")</f>
        <v>sáb</v>
      </c>
      <c r="AD6" s="15" t="str">
        <f>TEXT(WEEKDAY(DATE(AnoCalendário,6,28),1),"ddd")</f>
        <v>dom</v>
      </c>
      <c r="AE6" s="15" t="str">
        <f>TEXT(WEEKDAY(DATE(AnoCalendário,6,29),1),"ddd")</f>
        <v>seg</v>
      </c>
      <c r="AF6" s="15" t="str">
        <f>TEXT(WEEKDAY(DATE(AnoCalendário,6,30),1),"ddd")</f>
        <v>ter</v>
      </c>
      <c r="AG6" s="5"/>
    </row>
    <row r="7" spans="2:33"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6" t="s">
        <v>38</v>
      </c>
    </row>
    <row r="8" spans="2:33"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3">
        <f>COUNTA(Junho[[#This Row],[1]:[30]])</f>
        <v>0</v>
      </c>
    </row>
    <row r="9" spans="2:33" ht="30" customHeight="1">
      <c r="B9" s="36"/>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3"/>
    </row>
    <row r="10" spans="2:33"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3">
        <f>COUNTA(Junho[[#This Row],[1]:[30]])</f>
        <v>0</v>
      </c>
    </row>
    <row r="11" spans="2:33" ht="30" customHeight="1">
      <c r="B11" s="36"/>
      <c r="C11" s="1"/>
      <c r="D11" s="1"/>
      <c r="E11" s="1"/>
      <c r="F11" s="1"/>
      <c r="G11" s="1"/>
      <c r="H11" s="1"/>
      <c r="I11" s="1"/>
      <c r="J11" s="1"/>
      <c r="K11" s="1"/>
      <c r="L11" s="1"/>
      <c r="M11" s="1"/>
      <c r="N11" s="1"/>
      <c r="O11" s="1"/>
      <c r="P11" s="1"/>
      <c r="Q11" s="1"/>
      <c r="R11" s="1"/>
      <c r="S11" s="1"/>
      <c r="T11" s="1"/>
      <c r="V11" s="1"/>
      <c r="W11" s="1"/>
      <c r="X11" s="1"/>
      <c r="Y11" s="1"/>
      <c r="Z11" s="1"/>
      <c r="AA11" s="1"/>
      <c r="AB11" s="1"/>
      <c r="AC11" s="1"/>
      <c r="AD11" s="1"/>
      <c r="AE11" s="1"/>
      <c r="AF11" s="1"/>
      <c r="AG11" s="3"/>
    </row>
    <row r="12" spans="2:33" ht="30" customHeight="1">
      <c r="B12" s="2" t="s">
        <v>42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COUNTA(Junho[[#This Row],[1]:[30]])</f>
        <v>0</v>
      </c>
    </row>
    <row r="13" spans="2:33" ht="30" customHeight="1">
      <c r="B13" s="36"/>
      <c r="C13" s="1"/>
      <c r="D13" s="1"/>
      <c r="E13" s="40"/>
      <c r="F13" s="1"/>
      <c r="G13" s="1"/>
      <c r="H13" s="1"/>
      <c r="I13" s="1"/>
      <c r="J13" s="1"/>
      <c r="K13" s="1"/>
      <c r="L13" s="1"/>
      <c r="M13" s="1"/>
      <c r="N13" s="1"/>
      <c r="O13" s="1"/>
      <c r="P13" s="1"/>
      <c r="Q13" s="1"/>
      <c r="R13" s="1"/>
      <c r="S13" s="56"/>
      <c r="T13" s="1"/>
      <c r="U13" s="1"/>
      <c r="V13" s="57"/>
      <c r="X13" s="1"/>
      <c r="Y13" s="1"/>
      <c r="Z13" s="1"/>
      <c r="AA13" s="1"/>
      <c r="AB13" s="1"/>
      <c r="AC13" s="1"/>
      <c r="AD13" s="1"/>
      <c r="AE13" s="1"/>
      <c r="AF13" s="1"/>
      <c r="AG13" s="3"/>
    </row>
    <row r="14" spans="2:33" ht="30" customHeight="1">
      <c r="B14" s="2" t="s">
        <v>44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3">
        <f>COUNTA(Junho[[#This Row],[1]:[30]])</f>
        <v>0</v>
      </c>
    </row>
    <row r="15" spans="2:33" ht="30" customHeight="1">
      <c r="B15" s="3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
    </row>
    <row r="16" spans="2:33" ht="30" customHeight="1">
      <c r="B16" s="2" t="s">
        <v>46</v>
      </c>
      <c r="C16" s="1"/>
      <c r="D16" s="1"/>
      <c r="E16" s="1"/>
      <c r="F16" s="1"/>
      <c r="G16" s="1"/>
      <c r="H16" s="1"/>
      <c r="I16" s="1"/>
      <c r="J16" s="1"/>
      <c r="K16" s="1"/>
      <c r="L16" s="1"/>
      <c r="M16" s="1"/>
      <c r="N16" s="1" t="s">
        <v>2</v>
      </c>
      <c r="O16" s="1"/>
      <c r="P16" s="1"/>
      <c r="Q16" s="1" t="s">
        <v>2</v>
      </c>
      <c r="R16" s="1" t="s">
        <v>2</v>
      </c>
      <c r="S16" s="1" t="s">
        <v>2</v>
      </c>
      <c r="T16" s="1" t="s">
        <v>2</v>
      </c>
      <c r="U16" s="1" t="s">
        <v>2</v>
      </c>
      <c r="V16" s="1" t="s">
        <v>2</v>
      </c>
      <c r="W16" s="1" t="s">
        <v>2</v>
      </c>
      <c r="X16" s="1" t="s">
        <v>2</v>
      </c>
      <c r="Y16" s="1" t="s">
        <v>2</v>
      </c>
      <c r="Z16" s="1" t="s">
        <v>2</v>
      </c>
      <c r="AA16" s="1" t="s">
        <v>2</v>
      </c>
      <c r="AB16" s="1" t="s">
        <v>2</v>
      </c>
      <c r="AC16" s="1"/>
      <c r="AD16" s="1"/>
      <c r="AE16" s="1"/>
      <c r="AF16" s="1"/>
      <c r="AG16" s="3">
        <f>COUNTA(Junho[[#This Row],[1]:[30]])</f>
        <v>13</v>
      </c>
    </row>
    <row r="17" spans="2:33" ht="30" customHeight="1">
      <c r="B17" s="36"/>
      <c r="C17" s="1"/>
      <c r="D17" s="1"/>
      <c r="E17" s="1"/>
      <c r="F17" s="1"/>
      <c r="G17" s="1"/>
      <c r="H17" s="1"/>
      <c r="I17" s="1"/>
      <c r="J17" s="1"/>
      <c r="K17" s="1"/>
      <c r="L17" s="1"/>
      <c r="M17" s="1"/>
      <c r="N17" s="58" t="s">
        <v>57</v>
      </c>
      <c r="O17" s="1"/>
      <c r="P17" s="1"/>
      <c r="Q17" t="s">
        <v>58</v>
      </c>
      <c r="S17" s="1"/>
      <c r="T17" s="1"/>
      <c r="U17" s="1"/>
      <c r="V17" s="1"/>
      <c r="W17" s="1"/>
      <c r="X17" s="1"/>
      <c r="Z17" s="1"/>
      <c r="AA17" s="1"/>
      <c r="AB17" s="1"/>
      <c r="AC17" s="1"/>
      <c r="AD17" s="1"/>
      <c r="AE17" s="1"/>
      <c r="AF17" s="1"/>
      <c r="AG17" s="3"/>
    </row>
    <row r="18" spans="2:33" ht="30" customHeight="1">
      <c r="B18" s="1" t="s">
        <v>48</v>
      </c>
      <c r="C18" s="4">
        <f>COUNTA(C8,C10,C12,C14,C16)</f>
        <v>0</v>
      </c>
      <c r="D18" s="4">
        <f t="shared" ref="D18:AE18" si="0">COUNTA(D8,D10,D12,D14,D16)</f>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74">
        <f t="shared" si="0"/>
        <v>1</v>
      </c>
      <c r="O18" s="4">
        <f t="shared" si="0"/>
        <v>0</v>
      </c>
      <c r="P18" s="4">
        <f t="shared" si="0"/>
        <v>0</v>
      </c>
      <c r="Q18" s="4">
        <f t="shared" si="0"/>
        <v>1</v>
      </c>
      <c r="R18" s="4">
        <f t="shared" si="0"/>
        <v>1</v>
      </c>
      <c r="S18" s="4">
        <f t="shared" si="0"/>
        <v>1</v>
      </c>
      <c r="T18" s="4">
        <f t="shared" si="0"/>
        <v>1</v>
      </c>
      <c r="U18" s="4">
        <f t="shared" si="0"/>
        <v>1</v>
      </c>
      <c r="V18" s="4">
        <f t="shared" si="0"/>
        <v>1</v>
      </c>
      <c r="W18" s="4">
        <f t="shared" si="0"/>
        <v>1</v>
      </c>
      <c r="X18" s="4">
        <f t="shared" si="0"/>
        <v>1</v>
      </c>
      <c r="Y18" s="4">
        <f t="shared" si="0"/>
        <v>1</v>
      </c>
      <c r="Z18" s="4">
        <f t="shared" si="0"/>
        <v>1</v>
      </c>
      <c r="AA18" s="4">
        <f t="shared" si="0"/>
        <v>1</v>
      </c>
      <c r="AB18" s="4">
        <f t="shared" si="0"/>
        <v>1</v>
      </c>
      <c r="AC18" s="4">
        <f t="shared" si="0"/>
        <v>0</v>
      </c>
      <c r="AD18" s="4">
        <f t="shared" si="0"/>
        <v>0</v>
      </c>
      <c r="AE18" s="4">
        <f t="shared" si="0"/>
        <v>0</v>
      </c>
      <c r="AF18" s="4">
        <f>COUNTA(AF8,AF10,AF12,AF14,AF16)</f>
        <v>0</v>
      </c>
      <c r="AG18" s="4"/>
    </row>
  </sheetData>
  <mergeCells count="5">
    <mergeCell ref="B1:AG1"/>
    <mergeCell ref="D3:E3"/>
    <mergeCell ref="H3:K3"/>
    <mergeCell ref="N3:O3"/>
    <mergeCell ref="C5:AF5"/>
  </mergeCells>
  <phoneticPr fontId="26" type="noConversion"/>
  <conditionalFormatting sqref="C8:AF12 C13:D13 F13:AF13 C14:AF17">
    <cfRule type="cellIs" dxfId="654" priority="11" operator="equal">
      <formula>"L"</formula>
    </cfRule>
    <cfRule type="cellIs" dxfId="653" priority="12" operator="equal">
      <formula>"A"</formula>
    </cfRule>
    <cfRule type="expression" priority="13" stopIfTrue="1">
      <formula>C8=""</formula>
    </cfRule>
    <cfRule type="expression" dxfId="652" priority="14" stopIfTrue="1">
      <formula>C8=ChavePersonalizada2</formula>
    </cfRule>
    <cfRule type="expression" dxfId="651" priority="15" stopIfTrue="1">
      <formula>C8=ChavePersonalizada1</formula>
    </cfRule>
    <cfRule type="expression" dxfId="650" priority="16" stopIfTrue="1">
      <formula>C8=ChaveLicençaMédica</formula>
    </cfRule>
    <cfRule type="expression" dxfId="649" priority="17" stopIfTrue="1">
      <formula>C8=ChavePessoal</formula>
    </cfRule>
    <cfRule type="expression" dxfId="648" priority="18" stopIfTrue="1">
      <formula>C8=ChaveFérias</formula>
    </cfRule>
  </conditionalFormatting>
  <conditionalFormatting sqref="E13">
    <cfRule type="cellIs" dxfId="647" priority="1" operator="equal">
      <formula>"L"</formula>
    </cfRule>
    <cfRule type="cellIs" dxfId="646" priority="2" operator="equal">
      <formula>"A"</formula>
    </cfRule>
    <cfRule type="cellIs" dxfId="645" priority="3" operator="equal">
      <formula>"A"</formula>
    </cfRule>
    <cfRule type="cellIs" dxfId="644" priority="4" operator="equal">
      <formula>"A"</formula>
    </cfRule>
    <cfRule type="expression" priority="5" stopIfTrue="1">
      <formula>E13=""</formula>
    </cfRule>
    <cfRule type="expression" dxfId="643" priority="6" stopIfTrue="1">
      <formula>E13=ChavePersonalizada2</formula>
    </cfRule>
    <cfRule type="expression" dxfId="642" priority="7" stopIfTrue="1">
      <formula>E13=ChavePersonalizada1</formula>
    </cfRule>
    <cfRule type="expression" dxfId="641" priority="8" stopIfTrue="1">
      <formula>E13=ChaveLicençaMédica</formula>
    </cfRule>
    <cfRule type="expression" dxfId="640" priority="9" stopIfTrue="1">
      <formula>E13=ChavePessoal</formula>
    </cfRule>
    <cfRule type="expression" dxfId="639" priority="10" stopIfTrue="1">
      <formula>E13=ChaveFérias</formula>
    </cfRule>
  </conditionalFormatting>
  <conditionalFormatting sqref="AG8:AG17">
    <cfRule type="dataBar" priority="19">
      <dataBar>
        <cfvo type="min"/>
        <cfvo type="formula" val="DATEDIF(DATE(AnoCalendário,2,1),DATE(AnoCalendário,3,1),&quot;d&quot;)"/>
        <color theme="2" tint="-0.249977111117893"/>
      </dataBar>
      <extLst>
        <ext xmlns:x14="http://schemas.microsoft.com/office/spreadsheetml/2009/9/main" uri="{B025F937-C7B1-47D3-B67F-A62EFF666E3E}">
          <x14:id>{5E94D469-7B22-408B-924D-8DC8A136AD3B}</x14:id>
        </ext>
      </extLst>
    </cfRule>
  </conditionalFormatting>
  <dataValidations count="13">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85B1AA25-701F-5E4F-A537-8492818323AC}"/>
    <dataValidation allowBlank="1" showInputMessage="1" showErrorMessage="1" prompt="Calcula automaticamente o número total de dias em que um funcionário esteve ausente deste mês nesta coluna." sqref="AG7" xr:uid="{EFC3BF89-2526-1648-9032-54E38409D629}"/>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64EA262E-8CED-4499-84C0-FD05191F2ED5}"/>
    <dataValidation allowBlank="1" showInputMessage="1" showErrorMessage="1" prompt="O título atualizado automaticamente está nesta célula. Para modificar o título, atualize B1 na planilha Janeiro." sqref="B1" xr:uid="{E70FA627-F50F-491F-B7DF-1439B0B41D1A}"/>
    <dataValidation allowBlank="1" showInputMessage="1" showErrorMessage="1" prompt="A letra &quot;F&quot; indica falta devido a férias." sqref="C3" xr:uid="{64B0DDD6-2782-4695-AFBF-93B7205AD95D}"/>
    <dataValidation allowBlank="1" showInputMessage="1" showErrorMessage="1" prompt="A letra &quot;P&quot; indica falta devido a motivos pessoais." sqref="G3" xr:uid="{40EC7AAC-96C5-4FC4-8579-E6B1E68CE913}"/>
    <dataValidation allowBlank="1" showInputMessage="1" showErrorMessage="1" prompt="A letra &quot;L&quot; indica falta devido à licença médica." sqref="M3" xr:uid="{B84EAE23-07DE-4B20-858F-17C2A0E59C51}"/>
    <dataValidation allowBlank="1" showInputMessage="1" showErrorMessage="1" prompt="Insira uma letra e personalize o rótulo à direita para adicionar outro item de chave." sqref="U3" xr:uid="{79C6F8BA-4D20-43A1-957E-74812014CEC2}"/>
    <dataValidation allowBlank="1" showInputMessage="1" showErrorMessage="1" prompt="Insira um rótulo para descrever a chave personalizada à esquerda." sqref="V3 Q3" xr:uid="{CFF8620A-AFF9-4628-90FE-8FF05529ECB7}"/>
    <dataValidation allowBlank="1" showInputMessage="1" showErrorMessage="1" prompt="O nome do mês para essa agenda de faltas está nesta célula. Os totais de faltas deste mês estão na última célula da tabela. Selecione os nomes dos funcionários na tabela B." sqref="B1" xr:uid="{321A7080-502A-4A4F-82E1-79567A4FFC17}"/>
    <dataValidation allowBlank="1" showInputMessage="1" showErrorMessage="1" prompt="Os dias do mês nesta linha são gerados automaticamente. Insira a falta e o tipo de falta de um funcionário em cada coluna de cada dia do mês. Espaço vazio significa sem faltas." sqref="C7" xr:uid="{5F765F6B-473A-3349-9925-D065E8DF0F17}"/>
    <dataValidation allowBlank="1" showInputMessage="1" showErrorMessage="1" prompt="Esta linha define as chaves utilizadas na tabela: a célula C4 é Férias, G4 é Pessoal e K4 é Licença médica. As células N4 e R4 são personalizáveis " sqref="B3" xr:uid="{5EB25F8B-0F47-495A-8350-F30C487611B6}"/>
    <dataValidation allowBlank="1" showInputMessage="1" showErrorMessage="1" prompt="Insira o ano nesta célula." sqref="AG5" xr:uid="{54A0209E-E833-4F61-B515-A42A18C73F06}"/>
  </dataValidations>
  <pageMargins left="0.7" right="0.7" top="0.75" bottom="0.75" header="0.3" footer="0.3"/>
  <pageSetup paperSize="9" scale="68" orientation="landscape" verticalDpi="4294967293" r:id="rId1"/>
  <ignoredErrors>
    <ignoredError sqref="AG8 AG10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4D469-7B22-408B-924D-8DC8A136AD3B}">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Diretores!$B$3:$B$7</xm:f>
          </x14:formula1>
          <xm:sqref>B8:B17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B1:AM18"/>
  <sheetViews>
    <sheetView showGridLines="0" tabSelected="1" zoomScale="90" zoomScaleNormal="90" workbookViewId="0">
      <selection activeCell="O7" sqref="O7"/>
    </sheetView>
  </sheetViews>
  <sheetFormatPr defaultColWidth="8.7109375" defaultRowHeight="30" customHeight="1"/>
  <cols>
    <col min="1" max="1" width="2.7109375" customWidth="1"/>
    <col min="2" max="2" width="33.140625" bestFit="1" customWidth="1"/>
    <col min="3" max="8" width="4.7109375" customWidth="1"/>
    <col min="9" max="9" width="4.85546875" customWidth="1"/>
    <col min="10" max="33" width="4.7109375" customWidth="1"/>
    <col min="34" max="34" width="14.85546875" customWidth="1"/>
    <col min="35" max="35" width="2.7109375" customWidth="1"/>
  </cols>
  <sheetData>
    <row r="1" spans="2:39" ht="61.5">
      <c r="B1" s="77" t="s">
        <v>59</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row>
    <row r="2" spans="2:39"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9" ht="30" customHeight="1">
      <c r="B3" s="24" t="s">
        <v>1</v>
      </c>
      <c r="C3" s="18" t="s">
        <v>2</v>
      </c>
      <c r="D3" s="78" t="s">
        <v>3</v>
      </c>
      <c r="E3" s="78"/>
      <c r="G3" s="75" t="s">
        <v>60</v>
      </c>
      <c r="H3" s="79" t="s">
        <v>61</v>
      </c>
      <c r="I3" s="79"/>
      <c r="J3" s="79"/>
      <c r="K3" s="79"/>
      <c r="M3" s="17" t="s">
        <v>4</v>
      </c>
      <c r="N3" s="78" t="s">
        <v>5</v>
      </c>
      <c r="O3" s="78"/>
      <c r="P3" s="69"/>
      <c r="Q3" s="38"/>
      <c r="R3" s="38"/>
      <c r="S3" s="38"/>
      <c r="T3" s="38"/>
      <c r="U3" s="32"/>
      <c r="V3" s="38"/>
      <c r="W3" s="34"/>
      <c r="X3" s="34"/>
      <c r="Y3" s="34"/>
    </row>
    <row r="4" spans="2:39"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9"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f>AnoCalendário</f>
        <v>2026</v>
      </c>
    </row>
    <row r="6" spans="2:39" ht="30" customHeight="1">
      <c r="B6" s="5"/>
      <c r="C6" s="15" t="str">
        <f>TEXT(WEEKDAY(DATE(AnoCalendário,7,1),1),"ddd")</f>
        <v>qua</v>
      </c>
      <c r="D6" s="15" t="str">
        <f>TEXT(WEEKDAY(DATE(AnoCalendário,7,2),1),"ddd")</f>
        <v>qui</v>
      </c>
      <c r="E6" s="15" t="str">
        <f>TEXT(WEEKDAY(DATE(AnoCalendário,7,3),1),"ddd")</f>
        <v>sex</v>
      </c>
      <c r="F6" s="15" t="str">
        <f>TEXT(WEEKDAY(DATE(AnoCalendário,7,4),1),"ddd")</f>
        <v>sáb</v>
      </c>
      <c r="G6" s="15" t="str">
        <f>TEXT(WEEKDAY(DATE(AnoCalendário,7,5),1),"ddd")</f>
        <v>dom</v>
      </c>
      <c r="H6" s="15" t="str">
        <f>TEXT(WEEKDAY(DATE(AnoCalendário,7,6),1),"ddd")</f>
        <v>seg</v>
      </c>
      <c r="I6" s="15" t="str">
        <f>TEXT(WEEKDAY(DATE(AnoCalendário,7,7),1),"ddd")</f>
        <v>ter</v>
      </c>
      <c r="J6" s="15" t="str">
        <f>TEXT(WEEKDAY(DATE(AnoCalendário,7,8),1),"ddd")</f>
        <v>qua</v>
      </c>
      <c r="K6" s="15" t="str">
        <f>TEXT(WEEKDAY(DATE(AnoCalendário,7,9),1),"ddd")</f>
        <v>qui</v>
      </c>
      <c r="L6" s="15" t="str">
        <f>TEXT(WEEKDAY(DATE(AnoCalendário,7,10),1),"ddd")</f>
        <v>sex</v>
      </c>
      <c r="M6" s="15" t="str">
        <f>TEXT(WEEKDAY(DATE(AnoCalendário,7,11),1),"ddd")</f>
        <v>sáb</v>
      </c>
      <c r="N6" s="15" t="str">
        <f>TEXT(WEEKDAY(DATE(AnoCalendário,7,12),1),"ddd")</f>
        <v>dom</v>
      </c>
      <c r="O6" s="15" t="str">
        <f>TEXT(WEEKDAY(DATE(AnoCalendário,7,13),1),"ddd")</f>
        <v>seg</v>
      </c>
      <c r="P6" s="15" t="str">
        <f>TEXT(WEEKDAY(DATE(AnoCalendário,7,14),1),"ddd")</f>
        <v>ter</v>
      </c>
      <c r="Q6" s="15" t="str">
        <f>TEXT(WEEKDAY(DATE(AnoCalendário,7,15),1),"ddd")</f>
        <v>qua</v>
      </c>
      <c r="R6" s="15" t="str">
        <f>TEXT(WEEKDAY(DATE(AnoCalendário,7,16),1),"ddd")</f>
        <v>qui</v>
      </c>
      <c r="S6" s="15" t="str">
        <f>TEXT(WEEKDAY(DATE(AnoCalendário,7,17),1),"ddd")</f>
        <v>sex</v>
      </c>
      <c r="T6" s="15" t="str">
        <f>TEXT(WEEKDAY(DATE(AnoCalendário,7,18),1),"ddd")</f>
        <v>sáb</v>
      </c>
      <c r="U6" s="15" t="str">
        <f>TEXT(WEEKDAY(DATE(AnoCalendário,7,19),1),"ddd")</f>
        <v>dom</v>
      </c>
      <c r="V6" s="15" t="str">
        <f>TEXT(WEEKDAY(DATE(AnoCalendário,7,20),1),"ddd")</f>
        <v>seg</v>
      </c>
      <c r="W6" s="15" t="str">
        <f>TEXT(WEEKDAY(DATE(AnoCalendário,7,21),1),"ddd")</f>
        <v>ter</v>
      </c>
      <c r="X6" s="15" t="str">
        <f>TEXT(WEEKDAY(DATE(AnoCalendário,7,22),1),"ddd")</f>
        <v>qua</v>
      </c>
      <c r="Y6" s="15" t="str">
        <f>TEXT(WEEKDAY(DATE(AnoCalendário,7,23),1),"ddd")</f>
        <v>qui</v>
      </c>
      <c r="Z6" s="15" t="str">
        <f>TEXT(WEEKDAY(DATE(AnoCalendário,7,24),1),"ddd")</f>
        <v>sex</v>
      </c>
      <c r="AA6" s="15" t="str">
        <f>TEXT(WEEKDAY(DATE(AnoCalendário,7,25),1),"ddd")</f>
        <v>sáb</v>
      </c>
      <c r="AB6" s="15" t="str">
        <f>TEXT(WEEKDAY(DATE(AnoCalendário,7,26),1),"ddd")</f>
        <v>dom</v>
      </c>
      <c r="AC6" s="15" t="str">
        <f>TEXT(WEEKDAY(DATE(AnoCalendário,7,27),1),"ddd")</f>
        <v>seg</v>
      </c>
      <c r="AD6" s="15" t="str">
        <f>TEXT(WEEKDAY(DATE(AnoCalendário,7,28),1),"ddd")</f>
        <v>ter</v>
      </c>
      <c r="AE6" s="15" t="str">
        <f>TEXT(WEEKDAY(DATE(AnoCalendário,7,29),1),"ddd")</f>
        <v>qua</v>
      </c>
      <c r="AF6" s="15" t="str">
        <f>TEXT(WEEKDAY(DATE(AnoCalendário,7,30),1),"ddd")</f>
        <v>qui</v>
      </c>
      <c r="AG6" s="15" t="str">
        <f>TEXT(WEEKDAY(DATE(AnoCalendário,7,31),1),"ddd")</f>
        <v>sex</v>
      </c>
      <c r="AH6" s="5"/>
    </row>
    <row r="7" spans="2:39"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row>
    <row r="8" spans="2:39"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t="s">
        <v>2</v>
      </c>
      <c r="AD8" s="1" t="s">
        <v>2</v>
      </c>
      <c r="AE8" s="1" t="s">
        <v>2</v>
      </c>
      <c r="AF8" s="1" t="s">
        <v>2</v>
      </c>
      <c r="AG8" s="1" t="s">
        <v>2</v>
      </c>
      <c r="AH8" s="3">
        <f>COUNTA(Julho[[#This Row],[1]:[31]])</f>
        <v>5</v>
      </c>
    </row>
    <row r="9" spans="2:39" ht="30" customHeight="1">
      <c r="B9" s="36"/>
      <c r="C9" s="1"/>
      <c r="D9" s="1"/>
      <c r="E9" s="1"/>
      <c r="F9" s="1"/>
      <c r="G9" s="1"/>
      <c r="H9" s="1"/>
      <c r="J9" s="40"/>
      <c r="K9" s="1"/>
      <c r="L9" s="1"/>
      <c r="M9" s="1"/>
      <c r="N9" s="1"/>
      <c r="P9" s="1"/>
      <c r="R9" s="1"/>
      <c r="S9" s="1"/>
      <c r="T9" s="1"/>
      <c r="U9" s="1"/>
      <c r="V9" t="s">
        <v>62</v>
      </c>
      <c r="X9" s="1"/>
      <c r="Y9" s="1"/>
      <c r="Z9" s="1"/>
      <c r="AA9" s="1"/>
      <c r="AB9" s="1"/>
      <c r="AD9" s="1"/>
      <c r="AE9" s="1"/>
      <c r="AF9" s="1"/>
      <c r="AG9" s="37"/>
      <c r="AH9" s="3"/>
    </row>
    <row r="10" spans="2:39"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COUNTA(Julho[[#This Row],[1]:[31]])</f>
        <v>0</v>
      </c>
    </row>
    <row r="11" spans="2:39" ht="30" customHeight="1">
      <c r="B11" s="36"/>
      <c r="C11" s="40"/>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9" ht="30" customHeight="1">
      <c r="B12" s="2" t="s">
        <v>42</v>
      </c>
      <c r="C12" s="1"/>
      <c r="D12" s="1"/>
      <c r="E12" s="1"/>
      <c r="F12" s="1"/>
      <c r="G12" s="1"/>
      <c r="H12" s="1"/>
      <c r="I12" s="1"/>
      <c r="J12" s="1"/>
      <c r="K12" s="1"/>
      <c r="L12" s="1"/>
      <c r="M12" s="68"/>
      <c r="N12" s="68"/>
      <c r="O12" s="68"/>
      <c r="P12" s="68"/>
      <c r="Q12" s="68"/>
      <c r="R12" s="68"/>
      <c r="S12" s="68"/>
      <c r="T12" s="68"/>
      <c r="U12" s="68"/>
      <c r="V12" s="68"/>
      <c r="W12" s="68"/>
      <c r="X12" s="68"/>
      <c r="Y12" s="68"/>
      <c r="Z12" s="68"/>
      <c r="AA12" s="68"/>
      <c r="AB12" s="68"/>
      <c r="AC12" s="68" t="s">
        <v>2</v>
      </c>
      <c r="AD12" s="68" t="s">
        <v>2</v>
      </c>
      <c r="AE12" s="68" t="s">
        <v>2</v>
      </c>
      <c r="AF12" s="68" t="s">
        <v>2</v>
      </c>
      <c r="AG12" s="68" t="s">
        <v>2</v>
      </c>
      <c r="AH12" s="3">
        <f>COUNTA(Julho[[#This Row],[1]:[31]])</f>
        <v>5</v>
      </c>
    </row>
    <row r="13" spans="2:39" ht="30" customHeight="1">
      <c r="B13" s="36"/>
      <c r="C13" s="1"/>
      <c r="D13" s="65"/>
      <c r="E13" s="58"/>
      <c r="F13" s="1"/>
      <c r="G13" s="1"/>
      <c r="H13" s="1"/>
      <c r="I13" s="1"/>
      <c r="J13" s="1"/>
      <c r="K13" s="1"/>
      <c r="L13" s="66"/>
      <c r="O13" s="58"/>
      <c r="R13" s="1"/>
      <c r="T13" s="1"/>
      <c r="U13" s="1"/>
      <c r="X13" s="40"/>
      <c r="Y13" s="1"/>
      <c r="AA13" s="1"/>
      <c r="AB13" s="1"/>
      <c r="AC13" s="1" t="s">
        <v>63</v>
      </c>
      <c r="AD13" s="61"/>
      <c r="AE13" s="61"/>
      <c r="AF13" s="61"/>
      <c r="AG13" s="62"/>
      <c r="AH13" s="63"/>
      <c r="AI13" s="64"/>
      <c r="AJ13" s="64"/>
      <c r="AK13" s="64"/>
      <c r="AL13" s="64"/>
      <c r="AM13" s="60"/>
    </row>
    <row r="14" spans="2:39" ht="30" customHeight="1">
      <c r="B14" s="2" t="s">
        <v>64</v>
      </c>
      <c r="C14" s="1"/>
      <c r="D14" s="1"/>
      <c r="E14" s="1"/>
      <c r="F14" s="1"/>
      <c r="G14" s="1"/>
      <c r="H14" s="1"/>
      <c r="I14" s="1"/>
      <c r="J14" s="1"/>
      <c r="K14" s="1"/>
      <c r="L14" s="68"/>
      <c r="M14" s="68"/>
      <c r="N14" s="68"/>
      <c r="O14" s="68"/>
      <c r="P14" s="68"/>
      <c r="Q14" s="68"/>
      <c r="R14" s="68"/>
      <c r="S14" s="68"/>
      <c r="T14" s="68"/>
      <c r="U14" s="68"/>
      <c r="V14" s="68"/>
      <c r="W14" s="68"/>
      <c r="X14" s="68"/>
      <c r="Y14" s="68"/>
      <c r="Z14" s="68"/>
      <c r="AA14" s="68"/>
      <c r="AB14" s="68"/>
      <c r="AC14" s="76" t="s">
        <v>60</v>
      </c>
      <c r="AD14" s="76" t="s">
        <v>60</v>
      </c>
      <c r="AE14" s="76" t="s">
        <v>60</v>
      </c>
      <c r="AF14" s="76" t="s">
        <v>60</v>
      </c>
      <c r="AG14" s="76" t="s">
        <v>60</v>
      </c>
      <c r="AH14" s="3">
        <f>COUNTA(Julho[[#This Row],[1]:[31]])</f>
        <v>5</v>
      </c>
    </row>
    <row r="15" spans="2:39" ht="30" customHeight="1">
      <c r="B15" s="36"/>
      <c r="C15" s="1"/>
      <c r="D15" s="1"/>
      <c r="E15" s="1"/>
      <c r="G15" s="1"/>
      <c r="H15" s="1"/>
      <c r="I15" s="1"/>
      <c r="J15" s="1"/>
      <c r="K15" s="1"/>
      <c r="M15" s="1"/>
      <c r="N15" s="1"/>
      <c r="Q15" s="40"/>
      <c r="R15" s="1"/>
      <c r="S15" s="1"/>
      <c r="T15" s="1"/>
      <c r="U15" s="1"/>
      <c r="V15" s="1"/>
      <c r="X15" s="40"/>
      <c r="Y15" s="1"/>
      <c r="Z15" s="1"/>
      <c r="AA15" s="1"/>
      <c r="AB15" s="1"/>
      <c r="AC15" s="1" t="s">
        <v>65</v>
      </c>
      <c r="AD15" s="1"/>
      <c r="AE15" s="1"/>
      <c r="AF15" s="1"/>
      <c r="AG15" s="37"/>
      <c r="AH15" s="3"/>
    </row>
    <row r="16" spans="2:39" ht="30"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COUNTA(Julho[[#This Row],[1]:[31]])</f>
        <v>0</v>
      </c>
    </row>
    <row r="17" spans="2:34" ht="30" customHeight="1">
      <c r="B17" s="36"/>
      <c r="C17" s="1"/>
      <c r="D17" s="1"/>
      <c r="E17" s="1"/>
      <c r="F17" s="1"/>
      <c r="G17" s="1"/>
      <c r="H17" s="1"/>
      <c r="I17" s="1"/>
      <c r="J17" s="1"/>
      <c r="K17" s="1"/>
      <c r="L17" s="1"/>
      <c r="M17" s="1"/>
      <c r="N17" s="1"/>
      <c r="O17" s="1"/>
      <c r="P17" s="1"/>
      <c r="Q17" s="1"/>
      <c r="R17" s="1"/>
      <c r="S17" s="40"/>
      <c r="T17" s="1"/>
      <c r="U17" s="1"/>
      <c r="V17" s="1"/>
      <c r="W17" s="1"/>
      <c r="X17" s="1"/>
      <c r="Y17" s="1"/>
      <c r="Z17" s="1"/>
      <c r="AA17" s="1"/>
      <c r="AB17" s="1"/>
      <c r="AC17" s="1"/>
      <c r="AD17" s="1"/>
      <c r="AE17" s="1"/>
      <c r="AF17" s="1"/>
      <c r="AG17" s="37"/>
      <c r="AH17" s="3"/>
    </row>
    <row r="18" spans="2:34" ht="30" customHeight="1">
      <c r="B18" s="1" t="s">
        <v>48</v>
      </c>
      <c r="C18" s="4">
        <f t="shared" ref="C18:AG18" si="0">COUNTA(C8,C10,C12,C14,C16)</f>
        <v>0</v>
      </c>
      <c r="D18" s="4">
        <f t="shared" si="0"/>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3</v>
      </c>
      <c r="AD18" s="4">
        <f t="shared" si="0"/>
        <v>3</v>
      </c>
      <c r="AE18" s="4">
        <f t="shared" si="0"/>
        <v>3</v>
      </c>
      <c r="AF18" s="4">
        <f t="shared" si="0"/>
        <v>3</v>
      </c>
      <c r="AG18" s="4">
        <f t="shared" si="0"/>
        <v>3</v>
      </c>
      <c r="AH18" s="4"/>
    </row>
  </sheetData>
  <mergeCells count="5">
    <mergeCell ref="B1:AH1"/>
    <mergeCell ref="D3:E3"/>
    <mergeCell ref="H3:K3"/>
    <mergeCell ref="N3:O3"/>
    <mergeCell ref="C5:AG5"/>
  </mergeCells>
  <phoneticPr fontId="26" type="noConversion"/>
  <conditionalFormatting sqref="C11">
    <cfRule type="expression" dxfId="571" priority="39" stopIfTrue="1">
      <formula>C11=ChavePessoal</formula>
    </cfRule>
    <cfRule type="expression" priority="35" stopIfTrue="1">
      <formula>C11=""</formula>
    </cfRule>
    <cfRule type="expression" dxfId="570" priority="38" stopIfTrue="1">
      <formula>C11=ChaveLicençaMédica</formula>
    </cfRule>
    <cfRule type="expression" dxfId="569" priority="37" stopIfTrue="1">
      <formula>C11=ChavePersonalizada1</formula>
    </cfRule>
    <cfRule type="expression" dxfId="568" priority="36" stopIfTrue="1">
      <formula>C11=ChavePersonalizada2</formula>
    </cfRule>
    <cfRule type="cellIs" dxfId="567" priority="31" operator="equal">
      <formula>"L"</formula>
    </cfRule>
    <cfRule type="cellIs" dxfId="566" priority="32" operator="equal">
      <formula>"A"</formula>
    </cfRule>
    <cfRule type="cellIs" dxfId="565" priority="33" operator="equal">
      <formula>"A"</formula>
    </cfRule>
    <cfRule type="cellIs" dxfId="564" priority="34" operator="equal">
      <formula>"A"</formula>
    </cfRule>
    <cfRule type="expression" dxfId="563" priority="40" stopIfTrue="1">
      <formula>C11=ChaveFérias</formula>
    </cfRule>
  </conditionalFormatting>
  <conditionalFormatting sqref="C8:AG8 C9:H9 J9:AG9 C10:AG10 D11:AG11 C12:AG12 C13:W13 Y13:AG13 C15:P15 R15:W15 Y15:AG15 C16:AG16 C17:R17 T17:AG17 C14:AG14">
    <cfRule type="expression" dxfId="562" priority="65" stopIfTrue="1">
      <formula>C8=ChavePersonalizada1</formula>
    </cfRule>
    <cfRule type="expression" dxfId="561" priority="64" stopIfTrue="1">
      <formula>C8=ChavePersonalizada2</formula>
    </cfRule>
    <cfRule type="expression" priority="63" stopIfTrue="1">
      <formula>C8=""</formula>
    </cfRule>
    <cfRule type="expression" dxfId="560" priority="66" stopIfTrue="1">
      <formula>C8=ChaveLicençaMédica</formula>
    </cfRule>
    <cfRule type="expression" dxfId="559" priority="67" stopIfTrue="1">
      <formula>C8=ChavePessoal</formula>
    </cfRule>
    <cfRule type="expression" dxfId="558" priority="68" stopIfTrue="1">
      <formula>C8=ChaveFérias</formula>
    </cfRule>
  </conditionalFormatting>
  <conditionalFormatting sqref="J9">
    <cfRule type="expression" dxfId="557" priority="60" stopIfTrue="1">
      <formula>J9=ChaveFérias</formula>
    </cfRule>
    <cfRule type="expression" dxfId="556" priority="59" stopIfTrue="1">
      <formula>J9=ChavePessoal</formula>
    </cfRule>
    <cfRule type="expression" dxfId="555" priority="58" stopIfTrue="1">
      <formula>J9=ChaveLicençaMédica</formula>
    </cfRule>
    <cfRule type="expression" dxfId="554" priority="57" stopIfTrue="1">
      <formula>J9=ChavePersonalizada1</formula>
    </cfRule>
    <cfRule type="expression" dxfId="553" priority="56" stopIfTrue="1">
      <formula>J9=ChavePersonalizada2</formula>
    </cfRule>
    <cfRule type="expression" priority="55" stopIfTrue="1">
      <formula>J9=""</formula>
    </cfRule>
    <cfRule type="cellIs" dxfId="552" priority="54" operator="equal">
      <formula>"A"</formula>
    </cfRule>
    <cfRule type="cellIs" dxfId="551" priority="53" operator="equal">
      <formula>"A"</formula>
    </cfRule>
    <cfRule type="cellIs" dxfId="550" priority="52" operator="equal">
      <formula>"A"</formula>
    </cfRule>
    <cfRule type="cellIs" dxfId="549" priority="51" operator="equal">
      <formula>"L"</formula>
    </cfRule>
  </conditionalFormatting>
  <conditionalFormatting sqref="J9:AG9 C8:AG8 C9:H9 C10:AG10 D11:AG11 C12:AG12 C13:W13 Y13:AG13 C15:P15 R15:W15 Y15:AG15 C16:AG16 C17:R17 T17:AG17 C14:AG14">
    <cfRule type="cellIs" dxfId="548" priority="61" operator="equal">
      <formula>"L"</formula>
    </cfRule>
    <cfRule type="cellIs" dxfId="547" priority="62" operator="equal">
      <formula>"A"</formula>
    </cfRule>
  </conditionalFormatting>
  <conditionalFormatting sqref="Q15">
    <cfRule type="cellIs" dxfId="546" priority="4" operator="equal">
      <formula>"A"</formula>
    </cfRule>
    <cfRule type="expression" priority="5" stopIfTrue="1">
      <formula>Q15=""</formula>
    </cfRule>
    <cfRule type="expression" dxfId="545" priority="6" stopIfTrue="1">
      <formula>Q15=ChavePersonalizada2</formula>
    </cfRule>
    <cfRule type="expression" dxfId="544" priority="7" stopIfTrue="1">
      <formula>Q15=ChavePersonalizada1</formula>
    </cfRule>
    <cfRule type="expression" dxfId="543" priority="8" stopIfTrue="1">
      <formula>Q15=ChaveLicençaMédica</formula>
    </cfRule>
    <cfRule type="expression" dxfId="542" priority="10" stopIfTrue="1">
      <formula>Q15=ChaveFérias</formula>
    </cfRule>
    <cfRule type="expression" dxfId="541" priority="9" stopIfTrue="1">
      <formula>Q15=ChavePessoal</formula>
    </cfRule>
    <cfRule type="cellIs" dxfId="540" priority="1" operator="equal">
      <formula>"L"</formula>
    </cfRule>
    <cfRule type="cellIs" dxfId="539" priority="2" operator="equal">
      <formula>"A"</formula>
    </cfRule>
    <cfRule type="cellIs" dxfId="538" priority="3" operator="equal">
      <formula>"A"</formula>
    </cfRule>
  </conditionalFormatting>
  <conditionalFormatting sqref="S17">
    <cfRule type="expression" dxfId="537" priority="20" stopIfTrue="1">
      <formula>S17=ChaveFérias</formula>
    </cfRule>
    <cfRule type="expression" dxfId="536" priority="19" stopIfTrue="1">
      <formula>S17=ChavePessoal</formula>
    </cfRule>
    <cfRule type="expression" dxfId="535" priority="18" stopIfTrue="1">
      <formula>S17=ChaveLicençaMédica</formula>
    </cfRule>
    <cfRule type="expression" dxfId="534" priority="17" stopIfTrue="1">
      <formula>S17=ChavePersonalizada1</formula>
    </cfRule>
    <cfRule type="expression" dxfId="533" priority="16" stopIfTrue="1">
      <formula>S17=ChavePersonalizada2</formula>
    </cfRule>
    <cfRule type="expression" priority="15" stopIfTrue="1">
      <formula>S17=""</formula>
    </cfRule>
    <cfRule type="cellIs" dxfId="532" priority="14" operator="equal">
      <formula>"A"</formula>
    </cfRule>
    <cfRule type="cellIs" dxfId="531" priority="13" operator="equal">
      <formula>"A"</formula>
    </cfRule>
    <cfRule type="cellIs" dxfId="530" priority="12" operator="equal">
      <formula>"A"</formula>
    </cfRule>
    <cfRule type="cellIs" dxfId="529" priority="11" operator="equal">
      <formula>"L"</formula>
    </cfRule>
  </conditionalFormatting>
  <conditionalFormatting sqref="X13">
    <cfRule type="expression" dxfId="528" priority="26" stopIfTrue="1">
      <formula>X13=ChavePersonalizada2</formula>
    </cfRule>
    <cfRule type="expression" priority="25" stopIfTrue="1">
      <formula>X13=""</formula>
    </cfRule>
    <cfRule type="cellIs" dxfId="527" priority="24" operator="equal">
      <formula>"A"</formula>
    </cfRule>
    <cfRule type="cellIs" dxfId="526" priority="23" operator="equal">
      <formula>"A"</formula>
    </cfRule>
    <cfRule type="cellIs" dxfId="525" priority="22" operator="equal">
      <formula>"A"</formula>
    </cfRule>
    <cfRule type="cellIs" dxfId="524" priority="21" operator="equal">
      <formula>"L"</formula>
    </cfRule>
    <cfRule type="expression" dxfId="523" priority="27" stopIfTrue="1">
      <formula>X13=ChavePersonalizada1</formula>
    </cfRule>
    <cfRule type="expression" dxfId="522" priority="30" stopIfTrue="1">
      <formula>X13=ChaveFérias</formula>
    </cfRule>
    <cfRule type="expression" dxfId="521" priority="29" stopIfTrue="1">
      <formula>X13=ChavePessoal</formula>
    </cfRule>
    <cfRule type="expression" dxfId="520" priority="28" stopIfTrue="1">
      <formula>X13=ChaveLicençaMédica</formula>
    </cfRule>
  </conditionalFormatting>
  <conditionalFormatting sqref="X15">
    <cfRule type="cellIs" dxfId="519" priority="41" operator="equal">
      <formula>"L"</formula>
    </cfRule>
    <cfRule type="cellIs" dxfId="518" priority="42" operator="equal">
      <formula>"A"</formula>
    </cfRule>
    <cfRule type="cellIs" dxfId="517" priority="43" operator="equal">
      <formula>"A"</formula>
    </cfRule>
    <cfRule type="cellIs" dxfId="516" priority="44" operator="equal">
      <formula>"A"</formula>
    </cfRule>
    <cfRule type="expression" priority="45" stopIfTrue="1">
      <formula>X15=""</formula>
    </cfRule>
    <cfRule type="expression" dxfId="515" priority="46" stopIfTrue="1">
      <formula>X15=ChavePersonalizada2</formula>
    </cfRule>
    <cfRule type="expression" dxfId="514" priority="47" stopIfTrue="1">
      <formula>X15=ChavePersonalizada1</formula>
    </cfRule>
    <cfRule type="expression" dxfId="513" priority="48" stopIfTrue="1">
      <formula>X15=ChaveLicençaMédica</formula>
    </cfRule>
    <cfRule type="expression" dxfId="512" priority="49" stopIfTrue="1">
      <formula>X15=ChavePessoal</formula>
    </cfRule>
    <cfRule type="expression" dxfId="511" priority="50" stopIfTrue="1">
      <formula>X15=ChaveFérias</formula>
    </cfRule>
  </conditionalFormatting>
  <conditionalFormatting sqref="AH8:AH17">
    <cfRule type="dataBar" priority="69">
      <dataBar>
        <cfvo type="min"/>
        <cfvo type="formula" val="DATEDIF(DATE(AnoCalendário,2,1),DATE(AnoCalendário,3,1),&quot;d&quot;)"/>
        <color theme="2" tint="-0.249977111117893"/>
      </dataBar>
      <extLst>
        <ext xmlns:x14="http://schemas.microsoft.com/office/spreadsheetml/2009/9/main" uri="{B025F937-C7B1-47D3-B67F-A62EFF666E3E}">
          <x14:id>{E0DCF129-9B2A-4CEB-9E56-27607F4BED20}</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03C1A45F-45B9-C64C-AB94-81563D673730}"/>
    <dataValidation allowBlank="1" showInputMessage="1" showErrorMessage="1" prompt="O nome do mês para essa agenda de faltas está nesta célula. Os totais de faltas deste mês estão na última célula da tabela. Selecione os nomes dos funcionários na tabela B." sqref="B1" xr:uid="{67F505EC-31B5-40A7-B716-2CD549AE1104}"/>
    <dataValidation allowBlank="1" showInputMessage="1" showErrorMessage="1" prompt="Insira um rótulo para descrever a chave personalizada à esquerda." sqref="V3 Q3" xr:uid="{8266857E-2E93-46B9-B9E7-39D8ED90E7FB}"/>
    <dataValidation allowBlank="1" showInputMessage="1" showErrorMessage="1" prompt="Insira uma letra e personalize o rótulo à direita para adicionar outro item de chave." sqref="U3" xr:uid="{02B9AD26-B519-46D5-913B-70A1FAB1E8F0}"/>
    <dataValidation allowBlank="1" showInputMessage="1" showErrorMessage="1" prompt="A letra &quot;L&quot; indica falta devido à licença médica." sqref="M3" xr:uid="{11760EC0-89EC-4D43-867B-4DB54E11A4DD}"/>
    <dataValidation allowBlank="1" showInputMessage="1" showErrorMessage="1" prompt="A letra &quot;P&quot; indica falta devido a motivos pessoais." sqref="G3" xr:uid="{325E5E5C-6CFC-4804-9B62-65CA481EBA6A}"/>
    <dataValidation allowBlank="1" showInputMessage="1" showErrorMessage="1" prompt="A letra &quot;F&quot; indica falta devido a férias." sqref="C3" xr:uid="{CDB1CD72-CFEA-44ED-9181-471F7EBDC1AF}"/>
    <dataValidation allowBlank="1" showInputMessage="1" showErrorMessage="1" prompt="O título atualizado automaticamente está nesta célula. Para modificar o título, atualize B1 na planilha Janeiro." sqref="B1" xr:uid="{B3F27361-0597-4269-BFFB-66188C3D1FBB}"/>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E2AB5665-8BC3-4C63-B766-DEF1E13725EA}"/>
    <dataValidation allowBlank="1" showInputMessage="1" showErrorMessage="1" prompt="Calcula automaticamente o número total de dias em que um funcionário esteve ausente deste mês nesta coluna." sqref="AH7" xr:uid="{7EEB97FE-C4E8-0B42-8F26-4ACE0C358EA5}"/>
    <dataValidation allowBlank="1" showInputMessage="1" showErrorMessage="1" prompt="Ano atualizado automaticamente com base no ano inserido na planilha de janeiro." sqref="AH5" xr:uid="{00000000-0002-0000-0600-00000C000000}"/>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956AA00F-FA3E-EE4C-BC75-65E8AA2EA95F}"/>
    <dataValidation allowBlank="1" showInputMessage="1" showErrorMessage="1" prompt="Esta linha define as chaves utilizadas na tabela: a célula C4 é Férias, G4 é Pessoal e K4 é Licença médica. As células N4 e R4 são personalizáveis " sqref="B3" xr:uid="{7CD91E9A-E379-4242-8473-4BAC4CF10F58}"/>
  </dataValidations>
  <pageMargins left="0.7" right="0.7" top="0.75" bottom="0.75" header="0.3" footer="0.3"/>
  <pageSetup paperSize="9" scale="44"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0DCF129-9B2A-4CEB-9E56-27607F4BED20}">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E000000}">
          <x14:formula1>
            <xm:f>Diretores!$B$3:$B$7</xm:f>
          </x14:formula1>
          <xm:sqref>B8:B17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B1:AH18"/>
  <sheetViews>
    <sheetView showGridLines="0" zoomScaleNormal="100" workbookViewId="0">
      <selection activeCell="L15" sqref="L15"/>
    </sheetView>
  </sheetViews>
  <sheetFormatPr defaultColWidth="8.7109375" defaultRowHeight="30" customHeight="1"/>
  <cols>
    <col min="1" max="1" width="2.7109375" customWidth="1"/>
    <col min="2" max="2" width="33.42578125" bestFit="1" customWidth="1"/>
    <col min="3" max="33" width="4.7109375" customWidth="1"/>
    <col min="34" max="34" width="14.85546875" customWidth="1"/>
    <col min="35" max="35" width="2.7109375" customWidth="1"/>
  </cols>
  <sheetData>
    <row r="1" spans="2:34" ht="61.5">
      <c r="B1" s="77" t="s">
        <v>66</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4" ht="30" customHeight="1">
      <c r="B3" s="24" t="s">
        <v>1</v>
      </c>
      <c r="C3" s="18" t="s">
        <v>2</v>
      </c>
      <c r="D3" s="78" t="s">
        <v>3</v>
      </c>
      <c r="E3" s="78"/>
      <c r="G3" s="73"/>
      <c r="H3" s="79"/>
      <c r="I3" s="79"/>
      <c r="J3" s="79"/>
      <c r="K3" s="79"/>
      <c r="M3" s="17" t="s">
        <v>4</v>
      </c>
      <c r="N3" s="78" t="s">
        <v>5</v>
      </c>
      <c r="O3" s="78"/>
      <c r="P3" s="69"/>
      <c r="Q3" s="38"/>
      <c r="R3" s="38"/>
      <c r="S3" s="38"/>
      <c r="T3" s="38"/>
      <c r="U3" s="32"/>
      <c r="V3" s="38"/>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4"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f>AnoCalendário</f>
        <v>2026</v>
      </c>
    </row>
    <row r="6" spans="2:34" ht="30" customHeight="1">
      <c r="B6" s="5"/>
      <c r="C6" s="15" t="str">
        <f>TEXT(WEEKDAY(DATE(AnoCalendário,8,1),1),"ddd")</f>
        <v>sáb</v>
      </c>
      <c r="D6" s="15" t="str">
        <f>TEXT(WEEKDAY(DATE(AnoCalendário,8,2),1),"ddd")</f>
        <v>dom</v>
      </c>
      <c r="E6" s="15" t="str">
        <f>TEXT(WEEKDAY(DATE(AnoCalendário,8,3),1),"ddd")</f>
        <v>seg</v>
      </c>
      <c r="F6" s="15" t="str">
        <f>TEXT(WEEKDAY(DATE(AnoCalendário,8,4),1),"ddd")</f>
        <v>ter</v>
      </c>
      <c r="G6" s="15" t="str">
        <f>TEXT(WEEKDAY(DATE(AnoCalendário,8,5),1),"ddd")</f>
        <v>qua</v>
      </c>
      <c r="H6" s="15" t="str">
        <f>TEXT(WEEKDAY(DATE(AnoCalendário,8,6),1),"ddd")</f>
        <v>qui</v>
      </c>
      <c r="I6" s="15" t="str">
        <f>TEXT(WEEKDAY(DATE(AnoCalendário,8,7),1),"ddd")</f>
        <v>sex</v>
      </c>
      <c r="J6" s="15" t="str">
        <f>TEXT(WEEKDAY(DATE(AnoCalendário,8,8),1),"ddd")</f>
        <v>sáb</v>
      </c>
      <c r="K6" s="15" t="str">
        <f>TEXT(WEEKDAY(DATE(AnoCalendário,8,9),1),"ddd")</f>
        <v>dom</v>
      </c>
      <c r="L6" s="15" t="str">
        <f>TEXT(WEEKDAY(DATE(AnoCalendário,8,10),1),"ddd")</f>
        <v>seg</v>
      </c>
      <c r="M6" s="15" t="str">
        <f>TEXT(WEEKDAY(DATE(AnoCalendário,8,11),1),"ddd")</f>
        <v>ter</v>
      </c>
      <c r="N6" s="15" t="str">
        <f>TEXT(WEEKDAY(DATE(AnoCalendário,8,12),1),"ddd")</f>
        <v>qua</v>
      </c>
      <c r="O6" s="15" t="str">
        <f>TEXT(WEEKDAY(DATE(AnoCalendário,8,13),1),"ddd")</f>
        <v>qui</v>
      </c>
      <c r="P6" s="15" t="str">
        <f>TEXT(WEEKDAY(DATE(AnoCalendário,8,14),1),"ddd")</f>
        <v>sex</v>
      </c>
      <c r="Q6" s="15" t="str">
        <f>TEXT(WEEKDAY(DATE(AnoCalendário,8,15),1),"ddd")</f>
        <v>sáb</v>
      </c>
      <c r="R6" s="15" t="str">
        <f>TEXT(WEEKDAY(DATE(AnoCalendário,8,16),1),"ddd")</f>
        <v>dom</v>
      </c>
      <c r="S6" s="15" t="str">
        <f>TEXT(WEEKDAY(DATE(AnoCalendário,8,17),1),"ddd")</f>
        <v>seg</v>
      </c>
      <c r="T6" s="15" t="str">
        <f>TEXT(WEEKDAY(DATE(AnoCalendário,8,18),1),"ddd")</f>
        <v>ter</v>
      </c>
      <c r="U6" s="15" t="str">
        <f>TEXT(WEEKDAY(DATE(AnoCalendário,8,19),1),"ddd")</f>
        <v>qua</v>
      </c>
      <c r="V6" s="15" t="str">
        <f>TEXT(WEEKDAY(DATE(AnoCalendário,8,20),1),"ddd")</f>
        <v>qui</v>
      </c>
      <c r="W6" s="15" t="str">
        <f>TEXT(WEEKDAY(DATE(AnoCalendário,8,21),1),"ddd")</f>
        <v>sex</v>
      </c>
      <c r="X6" s="15" t="str">
        <f>TEXT(WEEKDAY(DATE(AnoCalendário,8,22),1),"ddd")</f>
        <v>sáb</v>
      </c>
      <c r="Y6" s="15" t="str">
        <f>TEXT(WEEKDAY(DATE(AnoCalendário,8,23),1),"ddd")</f>
        <v>dom</v>
      </c>
      <c r="Z6" s="15" t="str">
        <f>TEXT(WEEKDAY(DATE(AnoCalendário,8,24),1),"ddd")</f>
        <v>seg</v>
      </c>
      <c r="AA6" s="15" t="str">
        <f>TEXT(WEEKDAY(DATE(AnoCalendário,8,25),1),"ddd")</f>
        <v>ter</v>
      </c>
      <c r="AB6" s="15" t="str">
        <f>TEXT(WEEKDAY(DATE(AnoCalendário,8,26),1),"ddd")</f>
        <v>qua</v>
      </c>
      <c r="AC6" s="15" t="str">
        <f>TEXT(WEEKDAY(DATE(AnoCalendário,8,27),1),"ddd")</f>
        <v>qui</v>
      </c>
      <c r="AD6" s="15" t="str">
        <f>TEXT(WEEKDAY(DATE(AnoCalendário,8,28),1),"ddd")</f>
        <v>sex</v>
      </c>
      <c r="AE6" s="15" t="str">
        <f>TEXT(WEEKDAY(DATE(AnoCalendário,8,29),1),"ddd")</f>
        <v>sáb</v>
      </c>
      <c r="AF6" s="15" t="str">
        <f>TEXT(WEEKDAY(DATE(AnoCalendário,8,30),1),"ddd")</f>
        <v>dom</v>
      </c>
      <c r="AG6" s="15" t="str">
        <f>TEXT(WEEKDAY(DATE(AnoCalendário,8,31),1),"ddd")</f>
        <v>seg</v>
      </c>
      <c r="AH6" s="5"/>
    </row>
    <row r="7" spans="2:34"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 t="s">
        <v>37</v>
      </c>
      <c r="AH7" s="16" t="s">
        <v>38</v>
      </c>
    </row>
    <row r="8" spans="2:34" ht="30" customHeight="1">
      <c r="B8" s="2" t="s">
        <v>39</v>
      </c>
      <c r="C8" s="1" t="s">
        <v>2</v>
      </c>
      <c r="D8" s="1" t="s">
        <v>2</v>
      </c>
      <c r="E8" s="1" t="s">
        <v>2</v>
      </c>
      <c r="F8" s="1" t="s">
        <v>2</v>
      </c>
      <c r="G8" s="1" t="s">
        <v>2</v>
      </c>
      <c r="H8" s="1" t="s">
        <v>2</v>
      </c>
      <c r="I8" s="1" t="s">
        <v>2</v>
      </c>
      <c r="J8" s="1"/>
      <c r="K8" s="1"/>
      <c r="L8" s="1"/>
      <c r="M8" s="1"/>
      <c r="N8" s="1"/>
      <c r="O8" s="1"/>
      <c r="P8" s="1"/>
      <c r="Q8" s="1"/>
      <c r="R8" s="1"/>
      <c r="S8" s="1"/>
      <c r="T8" s="1"/>
      <c r="U8" s="1"/>
      <c r="V8" s="1"/>
      <c r="W8" s="1"/>
      <c r="X8" s="1"/>
      <c r="Y8" s="1"/>
      <c r="Z8" s="1"/>
      <c r="AA8" s="1"/>
      <c r="AB8" s="1"/>
      <c r="AC8" s="1"/>
      <c r="AD8" s="1"/>
      <c r="AE8" s="1"/>
      <c r="AF8" s="1"/>
      <c r="AG8" s="1"/>
      <c r="AH8" s="3">
        <f>COUNTA(Agosto[[#This Row],[1]:[31]])</f>
        <v>7</v>
      </c>
    </row>
    <row r="9" spans="2:34" ht="30" customHeight="1">
      <c r="B9" s="36"/>
      <c r="C9" t="s">
        <v>62</v>
      </c>
      <c r="D9" s="1"/>
      <c r="E9" s="1"/>
      <c r="F9" s="1"/>
      <c r="G9" s="1"/>
      <c r="H9" s="1"/>
      <c r="I9" s="1"/>
      <c r="J9" s="1"/>
      <c r="K9" s="1"/>
      <c r="L9" s="1"/>
      <c r="M9" s="1"/>
      <c r="N9" s="1"/>
      <c r="O9" s="1"/>
      <c r="P9" s="1"/>
      <c r="Q9" s="1"/>
      <c r="R9" s="1"/>
      <c r="S9" s="1"/>
      <c r="T9" s="1"/>
      <c r="U9" s="1"/>
      <c r="V9" s="1"/>
      <c r="W9" s="1"/>
      <c r="X9" s="1"/>
      <c r="Z9" s="1"/>
      <c r="AA9" s="1"/>
      <c r="AB9" s="1"/>
      <c r="AC9" s="1"/>
      <c r="AD9" s="1"/>
      <c r="AE9" s="1"/>
      <c r="AF9" s="1"/>
      <c r="AG9" s="37"/>
      <c r="AH9" s="3"/>
    </row>
    <row r="10" spans="2:34" ht="30" customHeight="1">
      <c r="B10" s="2" t="s">
        <v>41</v>
      </c>
      <c r="C10" s="1"/>
      <c r="D10" s="1"/>
      <c r="E10" s="1"/>
      <c r="F10" s="1"/>
      <c r="G10" s="1"/>
      <c r="H10" s="1"/>
      <c r="I10" s="1"/>
      <c r="J10" s="1" t="s">
        <v>2</v>
      </c>
      <c r="K10" s="1" t="s">
        <v>2</v>
      </c>
      <c r="L10" s="1" t="s">
        <v>2</v>
      </c>
      <c r="M10" s="1" t="s">
        <v>2</v>
      </c>
      <c r="N10" s="1" t="s">
        <v>2</v>
      </c>
      <c r="O10" s="1" t="s">
        <v>2</v>
      </c>
      <c r="P10" s="1" t="s">
        <v>2</v>
      </c>
      <c r="Q10" s="1" t="s">
        <v>2</v>
      </c>
      <c r="R10" s="1" t="s">
        <v>2</v>
      </c>
      <c r="S10" s="1" t="s">
        <v>2</v>
      </c>
      <c r="T10" s="1"/>
      <c r="U10" s="1"/>
      <c r="V10" s="1"/>
      <c r="W10" s="1"/>
      <c r="X10" s="1"/>
      <c r="Y10" s="1"/>
      <c r="Z10" s="1"/>
      <c r="AA10" s="1"/>
      <c r="AB10" s="1"/>
      <c r="AC10" s="1"/>
      <c r="AD10" s="1"/>
      <c r="AE10" s="1"/>
      <c r="AF10" s="1"/>
      <c r="AG10" s="1"/>
      <c r="AH10" s="3">
        <f>COUNTA(Agosto[[#This Row],[1]:[31]])</f>
        <v>10</v>
      </c>
    </row>
    <row r="11" spans="2:34" ht="30" customHeight="1">
      <c r="B11" s="36"/>
      <c r="C11" s="1"/>
      <c r="D11" s="1"/>
      <c r="E11" s="1"/>
      <c r="F11" s="1"/>
      <c r="G11" s="1"/>
      <c r="H11" s="1"/>
      <c r="I11" s="1"/>
      <c r="J11" t="s">
        <v>67</v>
      </c>
      <c r="K11" s="1"/>
      <c r="L11" s="1"/>
      <c r="M11" s="1"/>
      <c r="N11" s="1"/>
      <c r="O11" s="1"/>
      <c r="P11" s="1"/>
      <c r="Q11" s="1"/>
      <c r="R11" s="1"/>
      <c r="S11" s="1"/>
      <c r="T11" s="1"/>
      <c r="U11" s="1"/>
      <c r="V11" s="1"/>
      <c r="W11" s="1"/>
      <c r="X11" s="1"/>
      <c r="Y11" s="1"/>
      <c r="Z11" s="1"/>
      <c r="AA11" s="1"/>
      <c r="AB11" s="1"/>
      <c r="AC11" s="1"/>
      <c r="AD11" s="1"/>
      <c r="AE11" s="1"/>
      <c r="AF11" s="1"/>
      <c r="AG11" s="37"/>
      <c r="AH11" s="3"/>
    </row>
    <row r="12" spans="2:34" ht="30" customHeight="1">
      <c r="B12" s="2" t="s">
        <v>42</v>
      </c>
      <c r="C12" s="1" t="s">
        <v>2</v>
      </c>
      <c r="D12" s="1" t="s">
        <v>2</v>
      </c>
      <c r="E12" s="1" t="s">
        <v>2</v>
      </c>
      <c r="F12" s="1" t="s">
        <v>2</v>
      </c>
      <c r="G12" s="1" t="s">
        <v>2</v>
      </c>
      <c r="H12" s="1" t="s">
        <v>2</v>
      </c>
      <c r="I12" s="1" t="s">
        <v>2</v>
      </c>
      <c r="J12" s="1"/>
      <c r="K12" s="1"/>
      <c r="L12" s="1"/>
      <c r="M12" s="1"/>
      <c r="N12" s="1"/>
      <c r="O12" s="1"/>
      <c r="P12" s="1"/>
      <c r="Q12" s="1"/>
      <c r="R12" s="1"/>
      <c r="S12" s="1"/>
      <c r="T12" s="1"/>
      <c r="U12" s="1"/>
      <c r="V12" s="1"/>
      <c r="W12" s="1"/>
      <c r="X12" s="1"/>
      <c r="Y12" s="69"/>
      <c r="Z12" s="69"/>
      <c r="AA12" s="69"/>
      <c r="AB12" s="69"/>
      <c r="AC12" s="69"/>
      <c r="AD12" s="69"/>
      <c r="AE12" s="69"/>
      <c r="AF12" s="69"/>
      <c r="AG12" s="69"/>
      <c r="AH12" s="3">
        <f>COUNTA(Agosto[[#This Row],[1]:[31]])</f>
        <v>7</v>
      </c>
    </row>
    <row r="13" spans="2:34" ht="30" customHeight="1">
      <c r="B13" s="36"/>
      <c r="C13" t="s">
        <v>63</v>
      </c>
      <c r="D13" s="1"/>
      <c r="E13" s="1"/>
      <c r="G13" s="61"/>
      <c r="H13" s="61"/>
      <c r="I13" s="61"/>
      <c r="J13" s="62"/>
      <c r="K13" s="63"/>
      <c r="L13" s="64"/>
      <c r="M13" s="64"/>
      <c r="N13" s="64"/>
      <c r="O13" s="1"/>
      <c r="P13" s="1"/>
      <c r="Q13" s="1"/>
      <c r="R13" s="1"/>
      <c r="S13" s="1"/>
      <c r="T13" s="1"/>
      <c r="U13" s="1"/>
      <c r="V13" s="1"/>
      <c r="W13" s="1"/>
      <c r="X13" s="1"/>
      <c r="Z13" s="1"/>
      <c r="AA13" s="1"/>
      <c r="AB13" s="1"/>
      <c r="AC13" s="1"/>
      <c r="AD13" s="1"/>
      <c r="AE13" s="1"/>
      <c r="AF13" s="1"/>
      <c r="AG13" s="37"/>
      <c r="AH13" s="3"/>
    </row>
    <row r="14" spans="2:34" ht="30" customHeight="1">
      <c r="B14" s="2" t="s">
        <v>64</v>
      </c>
      <c r="C14" s="76" t="s">
        <v>60</v>
      </c>
      <c r="D14" s="76" t="s">
        <v>60</v>
      </c>
      <c r="E14" s="76" t="s">
        <v>60</v>
      </c>
      <c r="F14" s="76" t="s">
        <v>60</v>
      </c>
      <c r="G14" s="76" t="s">
        <v>60</v>
      </c>
      <c r="H14" s="76" t="s">
        <v>60</v>
      </c>
      <c r="I14" s="76" t="s">
        <v>60</v>
      </c>
      <c r="J14" s="1"/>
      <c r="K14" s="1"/>
      <c r="L14" s="1"/>
      <c r="M14" s="1"/>
      <c r="N14" s="1"/>
      <c r="O14" s="1"/>
      <c r="P14" s="1"/>
      <c r="Q14" s="1"/>
      <c r="R14" s="1"/>
      <c r="S14" s="1"/>
      <c r="T14" s="1"/>
      <c r="U14" s="1"/>
      <c r="V14" s="1"/>
      <c r="W14" s="1"/>
      <c r="X14" s="1"/>
      <c r="Y14" s="1"/>
      <c r="Z14" s="1"/>
      <c r="AA14" s="1"/>
      <c r="AB14" s="1"/>
      <c r="AC14" s="1"/>
      <c r="AD14" s="1"/>
      <c r="AE14" s="1"/>
      <c r="AF14" s="1"/>
      <c r="AG14" s="1"/>
      <c r="AH14" s="3">
        <f>COUNTA(Agosto[[#This Row],[1]:[31]])</f>
        <v>7</v>
      </c>
    </row>
    <row r="15" spans="2:34" ht="30" customHeight="1">
      <c r="B15" s="36"/>
      <c r="C15" s="40" t="s">
        <v>65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7"/>
      <c r="AH15" s="3"/>
    </row>
    <row r="16" spans="2:34" ht="30" customHeight="1">
      <c r="B16" s="2" t="s">
        <v>46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COUNTA(Agosto[[#This Row],[1]:[31]])</f>
        <v>0</v>
      </c>
    </row>
    <row r="17" spans="2:34" ht="30" customHeight="1">
      <c r="B17" s="36"/>
      <c r="C17" s="1"/>
      <c r="D17" s="1"/>
      <c r="E17" s="1"/>
      <c r="F17" s="1"/>
      <c r="G17" s="1"/>
      <c r="H17" s="1"/>
      <c r="I17" s="1"/>
      <c r="J17" s="1"/>
      <c r="K17" s="1"/>
      <c r="L17" s="58"/>
      <c r="M17" s="1"/>
      <c r="N17" s="1"/>
      <c r="O17" s="1"/>
      <c r="P17" s="1"/>
      <c r="R17" s="1"/>
      <c r="T17" s="1"/>
      <c r="U17" s="40"/>
      <c r="V17" s="1"/>
      <c r="W17" s="1"/>
      <c r="X17" s="1"/>
      <c r="Y17" s="1"/>
      <c r="Z17" s="1"/>
      <c r="AA17" s="1"/>
      <c r="AD17" s="1"/>
      <c r="AE17" s="1"/>
      <c r="AF17" s="1"/>
      <c r="AG17" s="37"/>
      <c r="AH17" s="3"/>
    </row>
    <row r="18" spans="2:34" ht="30" customHeight="1">
      <c r="B18" s="1" t="s">
        <v>48</v>
      </c>
      <c r="C18" s="4">
        <f t="shared" ref="C18:AG18" si="0">COUNTA(C8,C10,C12,C14,C16)</f>
        <v>3</v>
      </c>
      <c r="D18" s="4">
        <f t="shared" si="0"/>
        <v>3</v>
      </c>
      <c r="E18" s="4">
        <f t="shared" si="0"/>
        <v>3</v>
      </c>
      <c r="F18" s="4">
        <f t="shared" si="0"/>
        <v>3</v>
      </c>
      <c r="G18" s="4">
        <f t="shared" si="0"/>
        <v>3</v>
      </c>
      <c r="H18" s="4">
        <f t="shared" si="0"/>
        <v>3</v>
      </c>
      <c r="I18" s="4">
        <f t="shared" si="0"/>
        <v>3</v>
      </c>
      <c r="J18" s="4">
        <f t="shared" si="0"/>
        <v>1</v>
      </c>
      <c r="K18" s="4">
        <f t="shared" si="0"/>
        <v>1</v>
      </c>
      <c r="L18" s="4">
        <f t="shared" si="0"/>
        <v>1</v>
      </c>
      <c r="M18" s="4">
        <f t="shared" si="0"/>
        <v>1</v>
      </c>
      <c r="N18" s="4">
        <f t="shared" si="0"/>
        <v>1</v>
      </c>
      <c r="O18" s="4">
        <f t="shared" si="0"/>
        <v>1</v>
      </c>
      <c r="P18" s="4">
        <f t="shared" si="0"/>
        <v>1</v>
      </c>
      <c r="Q18" s="4">
        <f t="shared" si="0"/>
        <v>1</v>
      </c>
      <c r="R18" s="4">
        <f t="shared" si="0"/>
        <v>1</v>
      </c>
      <c r="S18" s="4">
        <f t="shared" si="0"/>
        <v>1</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0</v>
      </c>
      <c r="AG18" s="4">
        <f t="shared" si="0"/>
        <v>0</v>
      </c>
      <c r="AH18" s="4"/>
    </row>
  </sheetData>
  <mergeCells count="5">
    <mergeCell ref="B1:AH1"/>
    <mergeCell ref="D3:E3"/>
    <mergeCell ref="H3:K3"/>
    <mergeCell ref="N3:O3"/>
    <mergeCell ref="C5:AG5"/>
  </mergeCells>
  <phoneticPr fontId="26" type="noConversion"/>
  <conditionalFormatting sqref="C15">
    <cfRule type="cellIs" dxfId="441" priority="20" operator="equal">
      <formula>"L"</formula>
    </cfRule>
    <cfRule type="expression" dxfId="440" priority="29" stopIfTrue="1">
      <formula>C15=ChaveFérias</formula>
    </cfRule>
    <cfRule type="expression" dxfId="439" priority="28" stopIfTrue="1">
      <formula>C15=ChavePessoal</formula>
    </cfRule>
    <cfRule type="expression" dxfId="438" priority="27" stopIfTrue="1">
      <formula>C15=ChaveLicençaMédica</formula>
    </cfRule>
    <cfRule type="expression" dxfId="437" priority="26" stopIfTrue="1">
      <formula>C15=ChavePersonalizada1</formula>
    </cfRule>
    <cfRule type="expression" dxfId="436" priority="25" stopIfTrue="1">
      <formula>C15=ChavePersonalizada2</formula>
    </cfRule>
    <cfRule type="expression" priority="24" stopIfTrue="1">
      <formula>C15=""</formula>
    </cfRule>
    <cfRule type="cellIs" dxfId="435" priority="23" operator="equal">
      <formula>"A"</formula>
    </cfRule>
    <cfRule type="cellIs" dxfId="434" priority="22" operator="equal">
      <formula>"A"</formula>
    </cfRule>
    <cfRule type="cellIs" dxfId="433" priority="21" operator="equal">
      <formula>"A"</formula>
    </cfRule>
  </conditionalFormatting>
  <conditionalFormatting sqref="C13:J13">
    <cfRule type="cellIs" dxfId="432" priority="2" operator="equal">
      <formula>"A"</formula>
    </cfRule>
    <cfRule type="expression" priority="3" stopIfTrue="1">
      <formula>C13=""</formula>
    </cfRule>
    <cfRule type="expression" dxfId="431" priority="4" stopIfTrue="1">
      <formula>C13=ChavePersonalizada2</formula>
    </cfRule>
    <cfRule type="expression" dxfId="430" priority="5" stopIfTrue="1">
      <formula>C13=ChavePersonalizada1</formula>
    </cfRule>
    <cfRule type="expression" dxfId="429" priority="6" stopIfTrue="1">
      <formula>C13=ChaveLicençaMédica</formula>
    </cfRule>
    <cfRule type="expression" dxfId="428" priority="7" stopIfTrue="1">
      <formula>C13=ChavePessoal</formula>
    </cfRule>
    <cfRule type="expression" dxfId="427" priority="8" stopIfTrue="1">
      <formula>C13=ChaveFérias</formula>
    </cfRule>
    <cfRule type="cellIs" dxfId="426" priority="1" operator="equal">
      <formula>"L"</formula>
    </cfRule>
  </conditionalFormatting>
  <conditionalFormatting sqref="C8:AG11 C12:X12 O13:AG13 D15:AG15 C16:AG16 C17:T17 V17:AG17 C14:AG14">
    <cfRule type="cellIs" dxfId="425" priority="30" operator="equal">
      <formula>"L"</formula>
    </cfRule>
    <cfRule type="cellIs" dxfId="424" priority="31" operator="equal">
      <formula>"A"</formula>
    </cfRule>
    <cfRule type="expression" priority="32" stopIfTrue="1">
      <formula>C8=""</formula>
    </cfRule>
    <cfRule type="expression" dxfId="423" priority="33" stopIfTrue="1">
      <formula>C8=ChavePersonalizada2</formula>
    </cfRule>
    <cfRule type="expression" dxfId="422" priority="34" stopIfTrue="1">
      <formula>C8=ChavePersonalizada1</formula>
    </cfRule>
    <cfRule type="expression" dxfId="421" priority="35" stopIfTrue="1">
      <formula>C8=ChaveLicençaMédica</formula>
    </cfRule>
    <cfRule type="expression" dxfId="420" priority="36" stopIfTrue="1">
      <formula>C8=ChavePessoal</formula>
    </cfRule>
    <cfRule type="expression" dxfId="419" priority="37" stopIfTrue="1">
      <formula>C8=ChaveFérias</formula>
    </cfRule>
  </conditionalFormatting>
  <conditionalFormatting sqref="K13">
    <cfRule type="dataBar" priority="9">
      <dataBar>
        <cfvo type="min"/>
        <cfvo type="formula" val="DATEDIF(DATE(AnoCalendário,2,1),DATE(AnoCalendário,3,1),&quot;d&quot;)"/>
        <color theme="2" tint="-0.249977111117893"/>
      </dataBar>
      <extLst>
        <ext xmlns:x14="http://schemas.microsoft.com/office/spreadsheetml/2009/9/main" uri="{B025F937-C7B1-47D3-B67F-A62EFF666E3E}">
          <x14:id>{E76EBD01-AB7E-4389-BE82-47855F34F0D0}</x14:id>
        </ext>
      </extLst>
    </cfRule>
  </conditionalFormatting>
  <conditionalFormatting sqref="U17">
    <cfRule type="cellIs" dxfId="418" priority="10" operator="equal">
      <formula>"L"</formula>
    </cfRule>
    <cfRule type="expression" dxfId="417" priority="19" stopIfTrue="1">
      <formula>U17=ChaveFérias</formula>
    </cfRule>
    <cfRule type="expression" dxfId="416" priority="18" stopIfTrue="1">
      <formula>U17=ChavePessoal</formula>
    </cfRule>
    <cfRule type="expression" dxfId="415" priority="17" stopIfTrue="1">
      <formula>U17=ChaveLicençaMédica</formula>
    </cfRule>
    <cfRule type="expression" dxfId="414" priority="16" stopIfTrue="1">
      <formula>U17=ChavePersonalizada1</formula>
    </cfRule>
    <cfRule type="expression" dxfId="413" priority="15" stopIfTrue="1">
      <formula>U17=ChavePersonalizada2</formula>
    </cfRule>
    <cfRule type="expression" priority="14" stopIfTrue="1">
      <formula>U17=""</formula>
    </cfRule>
    <cfRule type="cellIs" dxfId="412" priority="13" operator="equal">
      <formula>"A"</formula>
    </cfRule>
    <cfRule type="cellIs" dxfId="411" priority="12" operator="equal">
      <formula>"A"</formula>
    </cfRule>
    <cfRule type="cellIs" dxfId="410" priority="11" operator="equal">
      <formula>"A"</formula>
    </cfRule>
  </conditionalFormatting>
  <conditionalFormatting sqref="AH8:AH17">
    <cfRule type="dataBar" priority="38">
      <dataBar>
        <cfvo type="min"/>
        <cfvo type="formula" val="DATEDIF(DATE(AnoCalendário,2,1),DATE(AnoCalendário,3,1),&quot;d&quot;)"/>
        <color theme="2" tint="-0.249977111117893"/>
      </dataBar>
      <extLst>
        <ext xmlns:x14="http://schemas.microsoft.com/office/spreadsheetml/2009/9/main" uri="{B025F937-C7B1-47D3-B67F-A62EFF666E3E}">
          <x14:id>{09900229-9536-43AB-AAE0-FC121BDECD61}</x14:id>
        </ext>
      </extLst>
    </cfRule>
  </conditionalFormatting>
  <dataValidations count="13">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C31066D8-39EA-EB48-A883-D56040D3EA81}"/>
    <dataValidation allowBlank="1" showInputMessage="1" showErrorMessage="1" prompt="Ano atualizado automaticamente com base no ano inserido na planilha de janeiro." sqref="AH5" xr:uid="{4F3A1A67-5AD0-224A-B9EB-2AA94773859B}"/>
    <dataValidation allowBlank="1" showInputMessage="1" showErrorMessage="1" prompt="Calcula automaticamente o número total de dias em que um funcionário esteve ausente deste mês nesta coluna." sqref="AH7" xr:uid="{AC80500B-13F9-964F-8855-BCABB1C8AF13}"/>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E32E97BE-8410-461F-840F-0F76D9465296}"/>
    <dataValidation allowBlank="1" showInputMessage="1" showErrorMessage="1" prompt="O título atualizado automaticamente está nesta célula. Para modificar o título, atualize B1 na planilha Janeiro." sqref="B1" xr:uid="{1B3522FF-BF6D-4E8D-A35A-6027C37E6604}"/>
    <dataValidation allowBlank="1" showInputMessage="1" showErrorMessage="1" prompt="A letra &quot;F&quot; indica falta devido a férias." sqref="C3" xr:uid="{4F536FCD-A9A9-4F2E-BBCD-E51166B71BC4}"/>
    <dataValidation allowBlank="1" showInputMessage="1" showErrorMessage="1" prompt="A letra &quot;P&quot; indica falta devido a motivos pessoais." sqref="G3" xr:uid="{44143536-9AA3-4F92-BDA6-29AB9B484130}"/>
    <dataValidation allowBlank="1" showInputMessage="1" showErrorMessage="1" prompt="A letra &quot;L&quot; indica falta devido à licença médica." sqref="M3" xr:uid="{1B0A497D-B2FE-4B65-8C47-6662E477E406}"/>
    <dataValidation allowBlank="1" showInputMessage="1" showErrorMessage="1" prompt="Insira uma letra e personalize o rótulo à direita para adicionar outro item de chave." sqref="U3" xr:uid="{C2F353FB-19E3-4AE7-AE34-9A1D1C026C0B}"/>
    <dataValidation allowBlank="1" showInputMessage="1" showErrorMessage="1" prompt="Insira um rótulo para descrever a chave personalizada à esquerda." sqref="V3 Q3" xr:uid="{DEC60F1F-81FA-4AC3-BC67-DC614F5781B5}"/>
    <dataValidation allowBlank="1" showInputMessage="1" showErrorMessage="1" prompt="O nome do mês para essa agenda de faltas está nesta célula. Os totais de faltas deste mês estão na última célula da tabela. Selecione os nomes dos funcionários na tabela B." sqref="B1" xr:uid="{7B368B21-0B51-4799-B0DD-86712A7392E6}"/>
    <dataValidation allowBlank="1" showInputMessage="1" showErrorMessage="1" prompt="Os dias do mês nesta linha são gerados automaticamente. Insira a falta e o tipo de falta de um funcionário em cada coluna de cada dia do mês. Espaço vazio significa sem faltas." sqref="C7" xr:uid="{ACF8EA0E-6010-5D46-9524-6055BFC9D4A3}"/>
    <dataValidation allowBlank="1" showInputMessage="1" showErrorMessage="1" prompt="Esta linha define as chaves utilizadas na tabela: a célula C4 é Férias, G4 é Pessoal e K4 é Licença médica. As células N4 e R4 são personalizáveis " sqref="B3" xr:uid="{87255469-F145-453F-8B68-CAEBA9ADF6FD}"/>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76EBD01-AB7E-4389-BE82-47855F34F0D0}">
            <x14:dataBar minLength="0" maxLength="100">
              <x14:cfvo type="autoMin"/>
              <x14:cfvo type="formula">
                <xm:f>DATEDIF(DATE(AnoCalendário,2,1),DATE(AnoCalendário,3,1),"d")</xm:f>
              </x14:cfvo>
              <x14:negativeFillColor rgb="FFFF0000"/>
              <x14:axisColor rgb="FF000000"/>
            </x14:dataBar>
          </x14:cfRule>
          <xm:sqref>K13</xm:sqref>
        </x14:conditionalFormatting>
        <x14:conditionalFormatting xmlns:xm="http://schemas.microsoft.com/office/excel/2006/main">
          <x14:cfRule type="dataBar" id="{09900229-9536-43AB-AAE0-FC121BDECD61}">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E000000}">
          <x14:formula1>
            <xm:f>Diretores!$B$3:$B$7</xm:f>
          </x14:formula1>
          <xm:sqref>B8:B17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B1:AG18"/>
  <sheetViews>
    <sheetView showGridLines="0" zoomScale="80" zoomScaleNormal="80" workbookViewId="0">
      <selection activeCell="F21" sqref="F21"/>
    </sheetView>
  </sheetViews>
  <sheetFormatPr defaultColWidth="8.7109375" defaultRowHeight="30" customHeight="1"/>
  <cols>
    <col min="1" max="1" width="2.7109375" customWidth="1"/>
    <col min="2" max="2" width="33.42578125" bestFit="1" customWidth="1"/>
    <col min="3" max="32" width="4.7109375" customWidth="1"/>
    <col min="33" max="33" width="14.85546875" customWidth="1"/>
    <col min="34" max="34" width="2.7109375" customWidth="1"/>
  </cols>
  <sheetData>
    <row r="1" spans="2:33" ht="61.5">
      <c r="B1" s="77" t="s">
        <v>68</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2:33"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30" customHeight="1">
      <c r="B3" s="24" t="s">
        <v>1</v>
      </c>
      <c r="C3" s="18" t="s">
        <v>2</v>
      </c>
      <c r="D3" s="78" t="s">
        <v>3</v>
      </c>
      <c r="E3" s="78"/>
      <c r="G3" s="73"/>
      <c r="H3" s="79"/>
      <c r="I3" s="79"/>
      <c r="J3" s="79"/>
      <c r="K3" s="79"/>
      <c r="M3" s="17" t="s">
        <v>4</v>
      </c>
      <c r="N3" s="78" t="s">
        <v>5</v>
      </c>
      <c r="O3" s="78"/>
      <c r="P3" s="34"/>
      <c r="Q3" s="38"/>
      <c r="R3" s="38"/>
      <c r="S3" s="38"/>
      <c r="T3" s="38"/>
      <c r="U3" s="32"/>
      <c r="V3" s="38"/>
      <c r="W3" s="34"/>
      <c r="X3" s="34"/>
      <c r="Y3" s="34"/>
    </row>
    <row r="4" spans="2:33"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3"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5">
        <f>AnoCalendário</f>
        <v>2026</v>
      </c>
    </row>
    <row r="6" spans="2:33" ht="30" customHeight="1">
      <c r="B6" s="5"/>
      <c r="C6" s="15" t="str">
        <f>TEXT(WEEKDAY(DATE(AnoCalendário,9,1),1),"ddd")</f>
        <v>ter</v>
      </c>
      <c r="D6" s="15" t="str">
        <f>TEXT(WEEKDAY(DATE(AnoCalendário,9,2),1),"ddd")</f>
        <v>qua</v>
      </c>
      <c r="E6" s="15" t="str">
        <f>TEXT(WEEKDAY(DATE(AnoCalendário,9,3),1),"ddd")</f>
        <v>qui</v>
      </c>
      <c r="F6" s="15" t="str">
        <f>TEXT(WEEKDAY(DATE(AnoCalendário,9,4),1),"ddd")</f>
        <v>sex</v>
      </c>
      <c r="G6" s="15" t="str">
        <f>TEXT(WEEKDAY(DATE(AnoCalendário,9,5),1),"ddd")</f>
        <v>sáb</v>
      </c>
      <c r="H6" s="15" t="str">
        <f>TEXT(WEEKDAY(DATE(AnoCalendário,9,6),1),"ddd")</f>
        <v>dom</v>
      </c>
      <c r="I6" s="15" t="str">
        <f>TEXT(WEEKDAY(DATE(AnoCalendário,9,7),1),"ddd")</f>
        <v>seg</v>
      </c>
      <c r="J6" s="15" t="str">
        <f>TEXT(WEEKDAY(DATE(AnoCalendário,9,8),1),"ddd")</f>
        <v>ter</v>
      </c>
      <c r="K6" s="15" t="str">
        <f>TEXT(WEEKDAY(DATE(AnoCalendário,9,9),1),"ddd")</f>
        <v>qua</v>
      </c>
      <c r="L6" s="15" t="str">
        <f>TEXT(WEEKDAY(DATE(AnoCalendário,9,10),1),"ddd")</f>
        <v>qui</v>
      </c>
      <c r="M6" s="15" t="str">
        <f>TEXT(WEEKDAY(DATE(AnoCalendário,9,11),1),"ddd")</f>
        <v>sex</v>
      </c>
      <c r="N6" s="15" t="str">
        <f>TEXT(WEEKDAY(DATE(AnoCalendário,9,12),1),"ddd")</f>
        <v>sáb</v>
      </c>
      <c r="O6" s="15" t="str">
        <f>TEXT(WEEKDAY(DATE(AnoCalendário,9,13),1),"ddd")</f>
        <v>dom</v>
      </c>
      <c r="P6" s="15" t="str">
        <f>TEXT(WEEKDAY(DATE(AnoCalendário,9,14),1),"ddd")</f>
        <v>seg</v>
      </c>
      <c r="Q6" s="15" t="str">
        <f>TEXT(WEEKDAY(DATE(AnoCalendário,9,15),1),"ddd")</f>
        <v>ter</v>
      </c>
      <c r="R6" s="15" t="str">
        <f>TEXT(WEEKDAY(DATE(AnoCalendário,9,16),1),"ddd")</f>
        <v>qua</v>
      </c>
      <c r="S6" s="15" t="str">
        <f>TEXT(WEEKDAY(DATE(AnoCalendário,9,17),1),"ddd")</f>
        <v>qui</v>
      </c>
      <c r="T6" s="15" t="str">
        <f>TEXT(WEEKDAY(DATE(AnoCalendário,9,18),1),"ddd")</f>
        <v>sex</v>
      </c>
      <c r="U6" s="15" t="str">
        <f>TEXT(WEEKDAY(DATE(AnoCalendário,9,19),1),"ddd")</f>
        <v>sáb</v>
      </c>
      <c r="V6" s="15" t="str">
        <f>TEXT(WEEKDAY(DATE(AnoCalendário,9,20),1),"ddd")</f>
        <v>dom</v>
      </c>
      <c r="W6" s="15" t="str">
        <f>TEXT(WEEKDAY(DATE(AnoCalendário,9,21),1),"ddd")</f>
        <v>seg</v>
      </c>
      <c r="X6" s="15" t="str">
        <f>TEXT(WEEKDAY(DATE(AnoCalendário,9,22),1),"ddd")</f>
        <v>ter</v>
      </c>
      <c r="Y6" s="15" t="str">
        <f>TEXT(WEEKDAY(DATE(AnoCalendário,9,23),1),"ddd")</f>
        <v>qua</v>
      </c>
      <c r="Z6" s="15" t="str">
        <f>TEXT(WEEKDAY(DATE(AnoCalendário,9,24),1),"ddd")</f>
        <v>qui</v>
      </c>
      <c r="AA6" s="15" t="str">
        <f>TEXT(WEEKDAY(DATE(AnoCalendário,9,25),1),"ddd")</f>
        <v>sex</v>
      </c>
      <c r="AB6" s="15" t="str">
        <f>TEXT(WEEKDAY(DATE(AnoCalendário,9,26),1),"ddd")</f>
        <v>sáb</v>
      </c>
      <c r="AC6" s="15" t="str">
        <f>TEXT(WEEKDAY(DATE(AnoCalendário,9,27),1),"ddd")</f>
        <v>dom</v>
      </c>
      <c r="AD6" s="15" t="str">
        <f>TEXT(WEEKDAY(DATE(AnoCalendário,9,28),1),"ddd")</f>
        <v>seg</v>
      </c>
      <c r="AE6" s="15" t="str">
        <f>TEXT(WEEKDAY(DATE(AnoCalendário,9,29),1),"ddd")</f>
        <v>ter</v>
      </c>
      <c r="AF6" s="15" t="str">
        <f>TEXT(WEEKDAY(DATE(AnoCalendário,9,30),1),"ddd")</f>
        <v>qua</v>
      </c>
      <c r="AG6" s="5"/>
    </row>
    <row r="7" spans="2:33" ht="30" customHeight="1">
      <c r="B7" s="20" t="s">
        <v>6</v>
      </c>
      <c r="C7" s="1" t="s">
        <v>7</v>
      </c>
      <c r="D7" s="1" t="s">
        <v>8</v>
      </c>
      <c r="E7" s="1" t="s">
        <v>9</v>
      </c>
      <c r="F7" s="1" t="s">
        <v>10</v>
      </c>
      <c r="G7" s="1" t="s">
        <v>11</v>
      </c>
      <c r="H7" s="1" t="s">
        <v>12</v>
      </c>
      <c r="I7" s="1" t="s">
        <v>13</v>
      </c>
      <c r="J7" s="1" t="s">
        <v>14</v>
      </c>
      <c r="K7" s="1" t="s">
        <v>15</v>
      </c>
      <c r="L7" s="1" t="s">
        <v>16</v>
      </c>
      <c r="M7" s="1" t="s">
        <v>17</v>
      </c>
      <c r="N7" s="1" t="s">
        <v>18</v>
      </c>
      <c r="O7" s="1" t="s">
        <v>19</v>
      </c>
      <c r="P7" s="1" t="s">
        <v>20</v>
      </c>
      <c r="Q7" s="1" t="s">
        <v>21</v>
      </c>
      <c r="R7" s="1" t="s">
        <v>22</v>
      </c>
      <c r="S7" s="1" t="s">
        <v>23</v>
      </c>
      <c r="T7" s="1" t="s">
        <v>24</v>
      </c>
      <c r="U7" s="1" t="s">
        <v>25</v>
      </c>
      <c r="V7" s="1" t="s">
        <v>26</v>
      </c>
      <c r="W7" s="1" t="s">
        <v>27</v>
      </c>
      <c r="X7" s="1" t="s">
        <v>28</v>
      </c>
      <c r="Y7" s="1" t="s">
        <v>29</v>
      </c>
      <c r="Z7" s="1" t="s">
        <v>30</v>
      </c>
      <c r="AA7" s="1" t="s">
        <v>31</v>
      </c>
      <c r="AB7" s="1" t="s">
        <v>32</v>
      </c>
      <c r="AC7" s="1" t="s">
        <v>33</v>
      </c>
      <c r="AD7" s="1" t="s">
        <v>34</v>
      </c>
      <c r="AE7" s="1" t="s">
        <v>35</v>
      </c>
      <c r="AF7" s="1" t="s">
        <v>36</v>
      </c>
      <c r="AG7" s="16" t="s">
        <v>38</v>
      </c>
    </row>
    <row r="8" spans="2:33" ht="30" customHeight="1">
      <c r="B8" s="2" t="s">
        <v>39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3">
        <f>COUNTA(Setembro[[#This Row],[1]:[30]])</f>
        <v>0</v>
      </c>
    </row>
    <row r="9" spans="2:33" ht="30" customHeight="1">
      <c r="B9" s="36"/>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3"/>
    </row>
    <row r="10" spans="2:33" ht="30" customHeight="1">
      <c r="B10" s="2" t="s">
        <v>41</v>
      </c>
      <c r="C10" s="1"/>
      <c r="D10" s="1"/>
      <c r="E10" s="1"/>
      <c r="F10" s="1"/>
      <c r="G10" s="1"/>
      <c r="H10" s="1"/>
      <c r="I10" s="1"/>
      <c r="J10" s="1"/>
      <c r="K10" s="1"/>
      <c r="L10" s="1"/>
      <c r="M10" s="1"/>
      <c r="N10" s="1"/>
      <c r="O10" s="1"/>
      <c r="P10" s="1"/>
      <c r="Q10" s="1"/>
      <c r="R10" s="1"/>
      <c r="S10" s="1"/>
      <c r="T10" s="1"/>
      <c r="U10" s="1"/>
      <c r="V10" s="1"/>
      <c r="W10" s="1"/>
      <c r="X10" s="1"/>
      <c r="Y10" s="1"/>
      <c r="Z10" s="1"/>
      <c r="AA10" s="1" t="s">
        <v>2</v>
      </c>
      <c r="AB10" s="1" t="s">
        <v>2</v>
      </c>
      <c r="AC10" s="1" t="s">
        <v>2</v>
      </c>
      <c r="AD10" s="1" t="s">
        <v>2</v>
      </c>
      <c r="AE10" s="1" t="s">
        <v>2</v>
      </c>
      <c r="AF10" s="1" t="s">
        <v>2</v>
      </c>
      <c r="AG10" s="3"/>
    </row>
    <row r="11" spans="2:33"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t="s">
        <v>69</v>
      </c>
      <c r="AB11" s="1"/>
      <c r="AC11" s="1"/>
      <c r="AD11" s="1"/>
      <c r="AE11" s="1"/>
      <c r="AF11" s="1"/>
      <c r="AG11" s="3"/>
    </row>
    <row r="12" spans="2:33" ht="30" customHeight="1">
      <c r="B12" s="2" t="s">
        <v>42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COUNTA(Setembro[[#This Row],[1]:[30]])</f>
        <v>0</v>
      </c>
    </row>
    <row r="13" spans="2:33" ht="30" customHeight="1">
      <c r="B13" s="36"/>
      <c r="C13" s="1"/>
      <c r="D13" s="1"/>
      <c r="E13" s="1"/>
      <c r="F13" s="1"/>
      <c r="G13" s="1"/>
      <c r="H13" s="1"/>
      <c r="I13" s="1"/>
      <c r="J13" s="1"/>
      <c r="K13" s="1"/>
      <c r="L13" s="1"/>
      <c r="M13" s="1"/>
      <c r="N13" s="1"/>
      <c r="O13" s="1"/>
      <c r="P13" s="1"/>
      <c r="Q13" s="1"/>
      <c r="R13" s="1"/>
      <c r="S13" s="1"/>
      <c r="T13" s="1"/>
      <c r="U13" s="1"/>
      <c r="V13" s="1"/>
      <c r="W13" s="1"/>
      <c r="X13" s="1"/>
      <c r="Z13" s="1"/>
      <c r="AA13" s="1"/>
      <c r="AB13" s="1"/>
      <c r="AC13" s="1"/>
      <c r="AD13" s="1"/>
      <c r="AE13" s="1"/>
      <c r="AF13" s="1"/>
      <c r="AG13" s="3"/>
    </row>
    <row r="14" spans="2:33" ht="30" customHeight="1">
      <c r="B14" s="2" t="s">
        <v>64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3">
        <f>COUNTA(Setembro[[#This Row],[1]:[30]])</f>
        <v>0</v>
      </c>
    </row>
    <row r="15" spans="2:33" ht="30" customHeight="1">
      <c r="B15" s="3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
    </row>
    <row r="16" spans="2:33" ht="30" customHeight="1">
      <c r="B16" s="2" t="s">
        <v>46</v>
      </c>
      <c r="C16" s="1"/>
      <c r="D16" s="1"/>
      <c r="E16" s="1"/>
      <c r="F16" s="1"/>
      <c r="G16" s="1"/>
      <c r="H16" s="1"/>
      <c r="I16" s="1"/>
      <c r="J16" s="1" t="s">
        <v>2</v>
      </c>
      <c r="K16" s="1" t="s">
        <v>2</v>
      </c>
      <c r="L16" s="1" t="s">
        <v>2</v>
      </c>
      <c r="M16" s="1" t="s">
        <v>2</v>
      </c>
      <c r="N16" s="1" t="s">
        <v>2</v>
      </c>
      <c r="O16" s="1" t="s">
        <v>2</v>
      </c>
      <c r="P16" s="1" t="s">
        <v>2</v>
      </c>
      <c r="Q16" s="1" t="s">
        <v>2</v>
      </c>
      <c r="R16" s="1" t="s">
        <v>2</v>
      </c>
      <c r="S16" s="1" t="s">
        <v>2</v>
      </c>
      <c r="T16" s="1" t="s">
        <v>2</v>
      </c>
      <c r="U16" s="1"/>
      <c r="V16" s="1"/>
      <c r="W16" s="1"/>
      <c r="X16" s="1"/>
      <c r="Y16" s="1"/>
      <c r="Z16" s="1"/>
      <c r="AA16" s="1"/>
      <c r="AB16" s="1"/>
      <c r="AC16" s="1"/>
      <c r="AD16" s="1"/>
      <c r="AE16" s="1"/>
      <c r="AF16" s="1"/>
      <c r="AG16" s="3">
        <f>COUNTA(Setembro[[#This Row],[1]:[30]])</f>
        <v>11</v>
      </c>
    </row>
    <row r="17" spans="2:33" ht="30" customHeight="1">
      <c r="B17" s="36"/>
      <c r="C17" s="58"/>
      <c r="D17" s="1"/>
      <c r="E17" s="1"/>
      <c r="F17" s="1"/>
      <c r="G17" s="1"/>
      <c r="I17" s="1"/>
      <c r="J17" t="s">
        <v>70</v>
      </c>
      <c r="K17" s="1"/>
      <c r="L17" s="1"/>
      <c r="M17" s="58"/>
      <c r="N17" s="1"/>
      <c r="O17" s="1"/>
      <c r="P17" s="1"/>
      <c r="Q17" s="1"/>
      <c r="R17" s="1"/>
      <c r="S17" s="1"/>
      <c r="T17" s="1"/>
      <c r="U17" s="1"/>
      <c r="V17" s="1"/>
      <c r="W17" s="1"/>
      <c r="Y17" s="1"/>
      <c r="Z17" s="1"/>
      <c r="AA17" s="1"/>
      <c r="AB17" s="1"/>
      <c r="AC17" s="1"/>
      <c r="AD17" s="1"/>
      <c r="AE17" s="1"/>
      <c r="AF17" s="1"/>
      <c r="AG17" s="3"/>
    </row>
    <row r="18" spans="2:33" ht="30" customHeight="1">
      <c r="B18" s="1" t="s">
        <v>48</v>
      </c>
      <c r="C18" s="4">
        <f t="shared" ref="C18:AF18" si="0">COUNTA(C8,C10,C12,C14,C16)</f>
        <v>0</v>
      </c>
      <c r="D18" s="4">
        <f t="shared" si="0"/>
        <v>0</v>
      </c>
      <c r="E18" s="4">
        <f t="shared" si="0"/>
        <v>0</v>
      </c>
      <c r="F18" s="4">
        <f t="shared" si="0"/>
        <v>0</v>
      </c>
      <c r="G18" s="4">
        <f t="shared" si="0"/>
        <v>0</v>
      </c>
      <c r="H18" s="4">
        <f t="shared" si="0"/>
        <v>0</v>
      </c>
      <c r="I18" s="4">
        <f t="shared" si="0"/>
        <v>0</v>
      </c>
      <c r="J18" s="4">
        <f t="shared" si="0"/>
        <v>1</v>
      </c>
      <c r="K18" s="4">
        <f t="shared" si="0"/>
        <v>1</v>
      </c>
      <c r="L18" s="4">
        <f t="shared" si="0"/>
        <v>1</v>
      </c>
      <c r="M18" s="4">
        <f t="shared" si="0"/>
        <v>1</v>
      </c>
      <c r="N18" s="4">
        <f t="shared" si="0"/>
        <v>1</v>
      </c>
      <c r="O18" s="4">
        <f t="shared" si="0"/>
        <v>1</v>
      </c>
      <c r="P18" s="4">
        <f t="shared" si="0"/>
        <v>1</v>
      </c>
      <c r="Q18" s="4">
        <f t="shared" si="0"/>
        <v>1</v>
      </c>
      <c r="R18" s="4">
        <f t="shared" si="0"/>
        <v>1</v>
      </c>
      <c r="S18" s="4">
        <f t="shared" si="0"/>
        <v>1</v>
      </c>
      <c r="T18" s="4">
        <f t="shared" si="0"/>
        <v>1</v>
      </c>
      <c r="U18" s="4">
        <f t="shared" si="0"/>
        <v>0</v>
      </c>
      <c r="V18" s="4">
        <f t="shared" si="0"/>
        <v>0</v>
      </c>
      <c r="W18" s="4">
        <f t="shared" si="0"/>
        <v>0</v>
      </c>
      <c r="X18" s="4">
        <f t="shared" si="0"/>
        <v>0</v>
      </c>
      <c r="Y18" s="4">
        <f t="shared" si="0"/>
        <v>0</v>
      </c>
      <c r="Z18" s="4">
        <f t="shared" si="0"/>
        <v>0</v>
      </c>
      <c r="AA18" s="4">
        <f t="shared" si="0"/>
        <v>1</v>
      </c>
      <c r="AB18" s="4">
        <f t="shared" si="0"/>
        <v>1</v>
      </c>
      <c r="AC18" s="4">
        <f t="shared" si="0"/>
        <v>1</v>
      </c>
      <c r="AD18" s="4">
        <f t="shared" si="0"/>
        <v>1</v>
      </c>
      <c r="AE18" s="4">
        <f t="shared" si="0"/>
        <v>1</v>
      </c>
      <c r="AF18" s="4">
        <f t="shared" si="0"/>
        <v>1</v>
      </c>
      <c r="AG18" s="4"/>
    </row>
  </sheetData>
  <mergeCells count="5">
    <mergeCell ref="B1:AG1"/>
    <mergeCell ref="D3:E3"/>
    <mergeCell ref="H3:K3"/>
    <mergeCell ref="N3:O3"/>
    <mergeCell ref="C5:AF5"/>
  </mergeCells>
  <phoneticPr fontId="26" type="noConversion"/>
  <conditionalFormatting sqref="C8:AF17">
    <cfRule type="cellIs" dxfId="340" priority="1" operator="equal">
      <formula>"L"</formula>
    </cfRule>
    <cfRule type="cellIs" dxfId="339" priority="2" operator="equal">
      <formula>"A"</formula>
    </cfRule>
    <cfRule type="expression" priority="3" stopIfTrue="1">
      <formula>C8=""</formula>
    </cfRule>
    <cfRule type="expression" dxfId="338" priority="4" stopIfTrue="1">
      <formula>C8=ChavePersonalizada2</formula>
    </cfRule>
    <cfRule type="expression" dxfId="337" priority="5" stopIfTrue="1">
      <formula>C8=ChavePersonalizada1</formula>
    </cfRule>
    <cfRule type="expression" dxfId="336" priority="6" stopIfTrue="1">
      <formula>C8=ChaveLicençaMédica</formula>
    </cfRule>
    <cfRule type="expression" dxfId="335" priority="7" stopIfTrue="1">
      <formula>C8=ChavePessoal</formula>
    </cfRule>
    <cfRule type="expression" dxfId="334" priority="8" stopIfTrue="1">
      <formula>C8=ChaveFérias</formula>
    </cfRule>
  </conditionalFormatting>
  <conditionalFormatting sqref="AG8:AG17">
    <cfRule type="dataBar" priority="9">
      <dataBar>
        <cfvo type="min"/>
        <cfvo type="formula" val="DATEDIF(DATE(AnoCalendário,2,1),DATE(AnoCalendário,3,1),&quot;d&quot;)"/>
        <color theme="2" tint="-0.249977111117893"/>
      </dataBar>
      <extLst>
        <ext xmlns:x14="http://schemas.microsoft.com/office/spreadsheetml/2009/9/main" uri="{B025F937-C7B1-47D3-B67F-A62EFF666E3E}">
          <x14:id>{1A021984-06A1-41D9-90D2-8C16E885020B}</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9DDE2A21-51EA-3649-A2EE-B04BD18F4ABA}"/>
    <dataValidation allowBlank="1" showInputMessage="1" showErrorMessage="1" prompt="O nome do mês para essa agenda de faltas está nesta célula. Os totais de faltas deste mês estão na última célula da tabela. Selecione os nomes dos funcionários na tabela B." sqref="B1" xr:uid="{6DFC368B-143F-4227-A4A6-6C28DE3DEDAD}"/>
    <dataValidation allowBlank="1" showInputMessage="1" showErrorMessage="1" prompt="Insira um rótulo para descrever a chave personalizada à esquerda." sqref="V3 Q3" xr:uid="{78A0C08E-8142-48B0-A874-A51B640FBD80}"/>
    <dataValidation allowBlank="1" showInputMessage="1" showErrorMessage="1" prompt="Insira uma letra e personalize o rótulo à direita para adicionar outro item de chave." sqref="U3" xr:uid="{CF69E8EE-7FE1-4F36-B3E3-B9A754A7ADD6}"/>
    <dataValidation allowBlank="1" showInputMessage="1" showErrorMessage="1" prompt="A letra &quot;L&quot; indica falta devido à licença médica." sqref="M3" xr:uid="{DAD07E45-5635-4689-A592-C1F1548FC046}"/>
    <dataValidation allowBlank="1" showInputMessage="1" showErrorMessage="1" prompt="A letra &quot;P&quot; indica falta devido a motivos pessoais." sqref="G3" xr:uid="{05694B6B-1AD8-4448-B3DC-DA260C9E0B28}"/>
    <dataValidation allowBlank="1" showInputMessage="1" showErrorMessage="1" prompt="A letra &quot;F&quot; indica falta devido a férias." sqref="C3" xr:uid="{C1F0E1FC-2CFB-44D4-9E00-C6C71E62B207}"/>
    <dataValidation allowBlank="1" showInputMessage="1" showErrorMessage="1" prompt="O título atualizado automaticamente está nesta célula. Para modificar o título, atualize B1 na planilha Janeiro." sqref="B1" xr:uid="{6AD22ECC-7525-4E25-9D13-E5AD6F35475E}"/>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CAF43558-9108-4C49-8ECF-DCF0EF12D353}"/>
    <dataValidation allowBlank="1" showInputMessage="1" showErrorMessage="1" prompt="Calcula automaticamente o número total de dias em que um funcionário esteve ausente deste mês nesta coluna." sqref="AG7" xr:uid="{5C77DC9E-A1AE-7C41-B518-6426DAF8D1EE}"/>
    <dataValidation allowBlank="1" showInputMessage="1" showErrorMessage="1" prompt="Ano atualizado automaticamente com base no ano inserido na planilha de janeiro." sqref="AG5" xr:uid="{075296AD-6F4A-1446-94E5-CA2E94C7BFCE}"/>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D85777C8-14EB-B748-8BBD-8B9BF124E384}"/>
    <dataValidation allowBlank="1" showInputMessage="1" showErrorMessage="1" prompt="Esta linha define as chaves utilizadas na tabela: a célula C4 é Férias, G4 é Pessoal e K4 é Licença médica. As células N4 e R4 são personalizáveis " sqref="B3" xr:uid="{198D4176-A364-4FB6-9EB6-57CFB4F903D5}"/>
  </dataValidations>
  <pageMargins left="0.7" right="0.7" top="0.75" bottom="0.75" header="0.3" footer="0.3"/>
  <pageSetup paperSize="9" fitToHeight="0" orientation="portrait" verticalDpi="4294967293" r:id="rId1"/>
  <ignoredErrors>
    <ignoredError sqref="AG8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A021984-06A1-41D9-90D2-8C16E885020B}">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E000000}">
          <x14:formula1>
            <xm:f>Diretores!$B$3:$B$7</xm:f>
          </x14:formula1>
          <xm:sqref>B8:B17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E855D61ED3FF1489E4F02F8D3906EF1" ma:contentTypeVersion="2" ma:contentTypeDescription="Crie um novo documento." ma:contentTypeScope="" ma:versionID="571b4b9879b110e19edd9a902db68046">
  <xsd:schema xmlns:xsd="http://www.w3.org/2001/XMLSchema" xmlns:xs="http://www.w3.org/2001/XMLSchema" xmlns:p="http://schemas.microsoft.com/office/2006/metadata/properties" xmlns:ns1="http://schemas.microsoft.com/sharepoint/v3" xmlns:ns2="17e47aec-4fd1-44ac-8b41-cb90461b566e" targetNamespace="http://schemas.microsoft.com/office/2006/metadata/properties" ma:root="true" ma:fieldsID="ad89866ca665d838beb61211c8cad87d" ns1:_="" ns2:_="">
    <xsd:import namespace="http://schemas.microsoft.com/sharepoint/v3"/>
    <xsd:import namespace="17e47aec-4fd1-44ac-8b41-cb90461b566e"/>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gendamento de Data de Início" ma:description="Data de Início de Agendamento é uma coluna de site criada pelo recurso de Publicação. Ela é usada para especificar a data e hora em que essa página aparecerá pela primeira vez aos visitantes do site." ma:hidden="true" ma:internalName="PublishingStartDate">
      <xsd:simpleType>
        <xsd:restriction base="dms:Unknown"/>
      </xsd:simpleType>
    </xsd:element>
    <xsd:element name="PublishingExpirationDate" ma:index="9" nillable="true" ma:displayName="Agendamento de Data de Término" ma:description="Data Final de Agendamento é uma coluna de site criada pelo recurso de Publicação. Ela é usada para especificar a data e a hora em que essa página não será mais exibida aos visitantes do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e47aec-4fd1-44ac-8b41-cb90461b566e"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1DB48D-B39A-4027-AC09-EC0D149B5064}"/>
</file>

<file path=customXml/itemProps2.xml><?xml version="1.0" encoding="utf-8"?>
<ds:datastoreItem xmlns:ds="http://schemas.openxmlformats.org/officeDocument/2006/customXml" ds:itemID="{CF416EBA-1ECE-4253-8F5F-379C4C21BCA1}"/>
</file>

<file path=customXml/itemProps3.xml><?xml version="1.0" encoding="utf-8"?>
<ds:datastoreItem xmlns:ds="http://schemas.openxmlformats.org/officeDocument/2006/customXml" ds:itemID="{25041016-5CFC-43CB-BEAA-D661549366D0}"/>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TM03987167</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2023-01-31T06:59:27Z</dcterms:created>
  <dcterms:modified xsi:type="dcterms:W3CDTF">2026-07-15T18:00:11Z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0x010100FE855D61ED3FF1489E4F02F8D3906EF1</vt:lpwstr>
  </property>
  <property fmtid="{D5CDD505-2E9C-101B-9397-08002B2CF9AE}" pid="3" name="MediaServiceImageTags">
    <vt:lpwstr/>
  </property>
</Properties>
</file>